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drawings/drawing2.xml" ContentType="application/vnd.openxmlformats-officedocument.drawing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drawings/drawing3.xml" ContentType="application/vnd.openxmlformats-officedocument.drawing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drawings/drawing4.xml" ContentType="application/vnd.openxmlformats-officedocument.drawing+xml"/>
  <Override PartName="/xl/tables/table16.xml" ContentType="application/vnd.openxmlformats-officedocument.spreadsheetml.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29"/>
  <workbookPr filterPrivacy="1" codeName="ThisWorkbook"/>
  <xr:revisionPtr revIDLastSave="0" documentId="8_{7AC26077-3220-4781-896F-6BB0C61E721C}" xr6:coauthVersionLast="47" xr6:coauthVersionMax="47" xr10:uidLastSave="{00000000-0000-0000-0000-000000000000}"/>
  <bookViews>
    <workbookView xWindow="-108" yWindow="-108" windowWidth="22680" windowHeight="14472" tabRatio="756" xr2:uid="{00000000-000D-0000-FFFF-FFFF00000000}"/>
  </bookViews>
  <sheets>
    <sheet name="계획한 지출" sheetId="2" r:id="rId1"/>
    <sheet name="실제 지출" sheetId="3" r:id="rId2"/>
    <sheet name="지출 차이" sheetId="4" r:id="rId3"/>
    <sheet name="지출 분석" sheetId="5" r:id="rId4"/>
  </sheets>
  <definedNames>
    <definedName name="워크시트_제목">'계획한 지출'!$K$2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23" i="4" l="1"/>
  <c r="N24" i="4"/>
  <c r="N25" i="4"/>
  <c r="N26" i="4"/>
  <c r="N27" i="4"/>
  <c r="M23" i="4"/>
  <c r="M24" i="4"/>
  <c r="M25" i="4"/>
  <c r="M26" i="4"/>
  <c r="M27" i="4"/>
  <c r="L23" i="4"/>
  <c r="L24" i="4"/>
  <c r="L25" i="4"/>
  <c r="L26" i="4"/>
  <c r="L27" i="4"/>
  <c r="K23" i="4"/>
  <c r="K24" i="4"/>
  <c r="K25" i="4"/>
  <c r="K26" i="4"/>
  <c r="K27" i="4"/>
  <c r="J23" i="4"/>
  <c r="J24" i="4"/>
  <c r="J25" i="4"/>
  <c r="J26" i="4"/>
  <c r="J27" i="4"/>
  <c r="I23" i="4"/>
  <c r="I24" i="4"/>
  <c r="I25" i="4"/>
  <c r="I26" i="4"/>
  <c r="I27" i="4"/>
  <c r="H23" i="4"/>
  <c r="H24" i="4"/>
  <c r="H25" i="4"/>
  <c r="H26" i="4"/>
  <c r="H27" i="4"/>
  <c r="G23" i="4"/>
  <c r="G24" i="4"/>
  <c r="G25" i="4"/>
  <c r="G26" i="4"/>
  <c r="G27" i="4"/>
  <c r="F23" i="4"/>
  <c r="F24" i="4"/>
  <c r="F25" i="4"/>
  <c r="F26" i="4"/>
  <c r="F27" i="4"/>
  <c r="E23" i="4"/>
  <c r="E24" i="4"/>
  <c r="E25" i="4"/>
  <c r="E26" i="4"/>
  <c r="E27" i="4"/>
  <c r="D23" i="4"/>
  <c r="D24" i="4"/>
  <c r="D25" i="4"/>
  <c r="D26" i="4"/>
  <c r="D27" i="4"/>
  <c r="C23" i="4"/>
  <c r="C24" i="4"/>
  <c r="C25" i="4"/>
  <c r="C26" i="4"/>
  <c r="C27" i="4"/>
  <c r="N12" i="4"/>
  <c r="N13" i="4"/>
  <c r="N14" i="4"/>
  <c r="N15" i="4"/>
  <c r="N16" i="4"/>
  <c r="N17" i="4"/>
  <c r="N18" i="4"/>
  <c r="M12" i="4"/>
  <c r="M13" i="4"/>
  <c r="M14" i="4"/>
  <c r="M15" i="4"/>
  <c r="M16" i="4"/>
  <c r="M17" i="4"/>
  <c r="M18" i="4"/>
  <c r="L12" i="4"/>
  <c r="L13" i="4"/>
  <c r="L14" i="4"/>
  <c r="L15" i="4"/>
  <c r="L16" i="4"/>
  <c r="L17" i="4"/>
  <c r="L18" i="4"/>
  <c r="K12" i="4"/>
  <c r="K13" i="4"/>
  <c r="K14" i="4"/>
  <c r="K15" i="4"/>
  <c r="K16" i="4"/>
  <c r="K17" i="4"/>
  <c r="K18" i="4"/>
  <c r="J12" i="4"/>
  <c r="J13" i="4"/>
  <c r="J14" i="4"/>
  <c r="J15" i="4"/>
  <c r="J16" i="4"/>
  <c r="J17" i="4"/>
  <c r="J18" i="4"/>
  <c r="I12" i="4"/>
  <c r="I13" i="4"/>
  <c r="I14" i="4"/>
  <c r="I15" i="4"/>
  <c r="I16" i="4"/>
  <c r="I17" i="4"/>
  <c r="I18" i="4"/>
  <c r="H12" i="4"/>
  <c r="H13" i="4"/>
  <c r="H14" i="4"/>
  <c r="H15" i="4"/>
  <c r="H16" i="4"/>
  <c r="H17" i="4"/>
  <c r="H18" i="4"/>
  <c r="G12" i="4"/>
  <c r="G13" i="4"/>
  <c r="G14" i="4"/>
  <c r="G15" i="4"/>
  <c r="G16" i="4"/>
  <c r="G17" i="4"/>
  <c r="G18" i="4"/>
  <c r="F12" i="4"/>
  <c r="F13" i="4"/>
  <c r="F14" i="4"/>
  <c r="F15" i="4"/>
  <c r="F16" i="4"/>
  <c r="F17" i="4"/>
  <c r="F18" i="4"/>
  <c r="E12" i="4"/>
  <c r="E13" i="4"/>
  <c r="E14" i="4"/>
  <c r="E15" i="4"/>
  <c r="E16" i="4"/>
  <c r="E17" i="4"/>
  <c r="E18" i="4"/>
  <c r="D12" i="4"/>
  <c r="D13" i="4"/>
  <c r="D14" i="4"/>
  <c r="D15" i="4"/>
  <c r="D16" i="4"/>
  <c r="D17" i="4"/>
  <c r="D18" i="4"/>
  <c r="C12" i="4"/>
  <c r="C13" i="4"/>
  <c r="C14" i="4"/>
  <c r="C15" i="4"/>
  <c r="C16" i="4"/>
  <c r="C17" i="4"/>
  <c r="C18" i="4"/>
  <c r="N22" i="4"/>
  <c r="M22" i="4"/>
  <c r="L22" i="4"/>
  <c r="K22" i="4"/>
  <c r="J22" i="4"/>
  <c r="I22" i="4"/>
  <c r="H22" i="4"/>
  <c r="G22" i="4"/>
  <c r="F22" i="4"/>
  <c r="E22" i="4"/>
  <c r="D22" i="4"/>
  <c r="C22" i="4"/>
  <c r="N11" i="4"/>
  <c r="M11" i="4"/>
  <c r="L11" i="4"/>
  <c r="K11" i="4"/>
  <c r="J11" i="4"/>
  <c r="I11" i="4"/>
  <c r="H11" i="4"/>
  <c r="G11" i="4"/>
  <c r="F11" i="4"/>
  <c r="E11" i="4"/>
  <c r="D11" i="4"/>
  <c r="C11" i="4"/>
  <c r="K2" i="3"/>
  <c r="K2" i="4"/>
  <c r="E3" i="5"/>
  <c r="B2" i="3" l="1"/>
  <c r="B2" i="5" l="1"/>
  <c r="B2" i="4"/>
  <c r="I7" i="3" l="1"/>
  <c r="J7" i="3"/>
  <c r="K7" i="3"/>
  <c r="L7" i="3"/>
  <c r="M7" i="3"/>
  <c r="N7" i="3"/>
  <c r="C32" i="4"/>
  <c r="D32" i="4"/>
  <c r="E32" i="4"/>
  <c r="F32" i="4"/>
  <c r="G32" i="4"/>
  <c r="H32" i="4"/>
  <c r="I32" i="4"/>
  <c r="J32" i="4"/>
  <c r="K32" i="4"/>
  <c r="L32" i="4"/>
  <c r="M32" i="4"/>
  <c r="N32" i="4"/>
  <c r="D31" i="4"/>
  <c r="E31" i="4"/>
  <c r="F31" i="4"/>
  <c r="G31" i="4"/>
  <c r="H31" i="4"/>
  <c r="I31" i="4"/>
  <c r="J31" i="4"/>
  <c r="K31" i="4"/>
  <c r="L31" i="4"/>
  <c r="M31" i="4"/>
  <c r="N31" i="4"/>
  <c r="C31" i="4"/>
  <c r="D6" i="4"/>
  <c r="E6" i="4"/>
  <c r="F6" i="4"/>
  <c r="G6" i="4"/>
  <c r="H6" i="4"/>
  <c r="I6" i="4"/>
  <c r="J6" i="4"/>
  <c r="K6" i="4"/>
  <c r="L6" i="4"/>
  <c r="M6" i="4"/>
  <c r="N6" i="4"/>
  <c r="C6" i="4"/>
  <c r="D19" i="3"/>
  <c r="E19" i="3"/>
  <c r="F19" i="3"/>
  <c r="G19" i="3"/>
  <c r="H19" i="3"/>
  <c r="I19" i="3"/>
  <c r="J19" i="3"/>
  <c r="K19" i="3"/>
  <c r="L19" i="3"/>
  <c r="M19" i="3"/>
  <c r="N19" i="3"/>
  <c r="D28" i="3"/>
  <c r="E28" i="3"/>
  <c r="F28" i="3"/>
  <c r="G28" i="3"/>
  <c r="H28" i="3"/>
  <c r="I28" i="3"/>
  <c r="J28" i="3"/>
  <c r="K28" i="3"/>
  <c r="L28" i="3"/>
  <c r="M28" i="3"/>
  <c r="N28" i="3"/>
  <c r="D33" i="3"/>
  <c r="E33" i="3"/>
  <c r="F33" i="3"/>
  <c r="G33" i="3"/>
  <c r="H33" i="3"/>
  <c r="I33" i="3"/>
  <c r="J33" i="3"/>
  <c r="K33" i="3"/>
  <c r="L33" i="3"/>
  <c r="M33" i="3"/>
  <c r="N33" i="3"/>
  <c r="C33" i="3"/>
  <c r="C28" i="3"/>
  <c r="C19" i="3"/>
  <c r="D33" i="2"/>
  <c r="E33" i="2"/>
  <c r="F33" i="2"/>
  <c r="G33" i="2"/>
  <c r="H33" i="2"/>
  <c r="I33" i="2"/>
  <c r="J33" i="2"/>
  <c r="K33" i="2"/>
  <c r="L33" i="2"/>
  <c r="M33" i="2"/>
  <c r="N33" i="2"/>
  <c r="C33" i="2"/>
  <c r="D28" i="2"/>
  <c r="E28" i="2"/>
  <c r="F28" i="2"/>
  <c r="G28" i="2"/>
  <c r="H28" i="2"/>
  <c r="I28" i="2"/>
  <c r="J28" i="2"/>
  <c r="K28" i="2"/>
  <c r="L28" i="2"/>
  <c r="M28" i="2"/>
  <c r="N28" i="2"/>
  <c r="C28" i="2"/>
  <c r="D19" i="2"/>
  <c r="E19" i="2"/>
  <c r="F19" i="2"/>
  <c r="G19" i="2"/>
  <c r="H19" i="2"/>
  <c r="I19" i="2"/>
  <c r="J19" i="2"/>
  <c r="K19" i="2"/>
  <c r="L19" i="2"/>
  <c r="M19" i="2"/>
  <c r="N19" i="2"/>
  <c r="C19" i="2"/>
  <c r="O22" i="4" l="1"/>
  <c r="O24" i="4"/>
  <c r="O6" i="4"/>
  <c r="O23" i="4"/>
  <c r="O32" i="4"/>
  <c r="O27" i="4"/>
  <c r="O26" i="4"/>
  <c r="O25" i="4"/>
  <c r="O31" i="4"/>
  <c r="O17" i="4"/>
  <c r="O16" i="4"/>
  <c r="O15" i="4"/>
  <c r="O14" i="4"/>
  <c r="O12" i="4"/>
  <c r="O18" i="4"/>
  <c r="O13" i="4"/>
  <c r="O11" i="4"/>
  <c r="B10" i="5"/>
  <c r="B9" i="5"/>
  <c r="B8" i="5"/>
  <c r="B7" i="5"/>
  <c r="N33" i="4"/>
  <c r="M33" i="4"/>
  <c r="L33" i="4"/>
  <c r="K33" i="4"/>
  <c r="J33" i="4"/>
  <c r="I33" i="4"/>
  <c r="H33" i="4"/>
  <c r="G33" i="4"/>
  <c r="F33" i="4"/>
  <c r="E33" i="4"/>
  <c r="D33" i="4"/>
  <c r="C33" i="4"/>
  <c r="N28" i="4"/>
  <c r="M28" i="4"/>
  <c r="L28" i="4"/>
  <c r="K28" i="4"/>
  <c r="J28" i="4"/>
  <c r="I28" i="4"/>
  <c r="H28" i="4"/>
  <c r="G28" i="4"/>
  <c r="F28" i="4"/>
  <c r="E28" i="4"/>
  <c r="D28" i="4"/>
  <c r="C28" i="4"/>
  <c r="N19" i="4"/>
  <c r="M19" i="4"/>
  <c r="L19" i="4"/>
  <c r="K19" i="4"/>
  <c r="J19" i="4"/>
  <c r="I19" i="4"/>
  <c r="H19" i="4"/>
  <c r="G19" i="4"/>
  <c r="F19" i="4"/>
  <c r="E19" i="4"/>
  <c r="D19" i="4"/>
  <c r="C19" i="4"/>
  <c r="O32" i="3"/>
  <c r="O31" i="3"/>
  <c r="O27" i="3"/>
  <c r="O26" i="3"/>
  <c r="O25" i="3"/>
  <c r="O24" i="3"/>
  <c r="O23" i="3"/>
  <c r="O22" i="3"/>
  <c r="O18" i="3"/>
  <c r="O17" i="3"/>
  <c r="O16" i="3"/>
  <c r="O15" i="3"/>
  <c r="O14" i="3"/>
  <c r="O13" i="3"/>
  <c r="O12" i="3"/>
  <c r="O11" i="3"/>
  <c r="N8" i="3"/>
  <c r="N36" i="3" s="1"/>
  <c r="M8" i="3"/>
  <c r="M36" i="3" s="1"/>
  <c r="L8" i="3"/>
  <c r="L36" i="3" s="1"/>
  <c r="K8" i="3"/>
  <c r="K36" i="3" s="1"/>
  <c r="J8" i="3"/>
  <c r="J36" i="3" s="1"/>
  <c r="I8" i="3"/>
  <c r="I36" i="3" s="1"/>
  <c r="H7" i="3"/>
  <c r="H8" i="3" s="1"/>
  <c r="H36" i="3" s="1"/>
  <c r="G7" i="3"/>
  <c r="G8" i="3" s="1"/>
  <c r="G36" i="3" s="1"/>
  <c r="F7" i="3"/>
  <c r="F8" i="3" s="1"/>
  <c r="F36" i="3" s="1"/>
  <c r="E7" i="3"/>
  <c r="E8" i="3" s="1"/>
  <c r="E36" i="3" s="1"/>
  <c r="D7" i="3"/>
  <c r="D8" i="3" s="1"/>
  <c r="D36" i="3" s="1"/>
  <c r="C7" i="3"/>
  <c r="C8" i="3" s="1"/>
  <c r="C36" i="3" s="1"/>
  <c r="O6" i="3"/>
  <c r="O32" i="2"/>
  <c r="O31" i="2"/>
  <c r="O33" i="2" s="1"/>
  <c r="O27" i="2"/>
  <c r="O26" i="2"/>
  <c r="O25" i="2"/>
  <c r="O24" i="2"/>
  <c r="O23" i="2"/>
  <c r="O22" i="2"/>
  <c r="O18" i="2"/>
  <c r="O17" i="2"/>
  <c r="O16" i="2"/>
  <c r="O15" i="2"/>
  <c r="O14" i="2"/>
  <c r="O13" i="2"/>
  <c r="O12" i="2"/>
  <c r="O11" i="2"/>
  <c r="N7" i="2"/>
  <c r="M7" i="2"/>
  <c r="L7" i="2"/>
  <c r="K7" i="2"/>
  <c r="J7" i="2"/>
  <c r="I7" i="2"/>
  <c r="H7" i="2"/>
  <c r="G7" i="2"/>
  <c r="F7" i="2"/>
  <c r="E7" i="2"/>
  <c r="D7" i="2"/>
  <c r="C7" i="2"/>
  <c r="O6" i="2"/>
  <c r="J8" i="2" l="1"/>
  <c r="J36" i="2" s="1"/>
  <c r="J7" i="4"/>
  <c r="J8" i="4" s="1"/>
  <c r="J36" i="4" s="1"/>
  <c r="L8" i="2"/>
  <c r="L36" i="2" s="1"/>
  <c r="L7" i="4"/>
  <c r="L8" i="4" s="1"/>
  <c r="L36" i="4" s="1"/>
  <c r="G8" i="2"/>
  <c r="G36" i="2" s="1"/>
  <c r="G7" i="4"/>
  <c r="G8" i="4" s="1"/>
  <c r="G36" i="4" s="1"/>
  <c r="H8" i="2"/>
  <c r="H36" i="2" s="1"/>
  <c r="H7" i="4"/>
  <c r="H8" i="4" s="1"/>
  <c r="H36" i="4" s="1"/>
  <c r="N8" i="2"/>
  <c r="N36" i="2" s="1"/>
  <c r="N7" i="4"/>
  <c r="N8" i="4" s="1"/>
  <c r="N36" i="4" s="1"/>
  <c r="D8" i="2"/>
  <c r="D36" i="2" s="1"/>
  <c r="D7" i="4"/>
  <c r="D8" i="4" s="1"/>
  <c r="D36" i="4" s="1"/>
  <c r="E7" i="4"/>
  <c r="E8" i="4" s="1"/>
  <c r="E36" i="4" s="1"/>
  <c r="E8" i="2"/>
  <c r="E36" i="2" s="1"/>
  <c r="K8" i="2"/>
  <c r="K36" i="2" s="1"/>
  <c r="K7" i="4"/>
  <c r="K8" i="4" s="1"/>
  <c r="K36" i="4" s="1"/>
  <c r="F7" i="4"/>
  <c r="F8" i="4" s="1"/>
  <c r="F36" i="4" s="1"/>
  <c r="F8" i="2"/>
  <c r="F36" i="2" s="1"/>
  <c r="M8" i="2"/>
  <c r="M36" i="2" s="1"/>
  <c r="M7" i="4"/>
  <c r="M8" i="4" s="1"/>
  <c r="M36" i="4" s="1"/>
  <c r="C7" i="4"/>
  <c r="C8" i="4" s="1"/>
  <c r="C36" i="4" s="1"/>
  <c r="C8" i="2"/>
  <c r="C36" i="2" s="1"/>
  <c r="I7" i="4"/>
  <c r="I8" i="4" s="1"/>
  <c r="I36" i="4" s="1"/>
  <c r="I8" i="2"/>
  <c r="I36" i="2" s="1"/>
  <c r="O33" i="3"/>
  <c r="O28" i="3"/>
  <c r="D8" i="5" s="1"/>
  <c r="C9" i="5"/>
  <c r="O19" i="2"/>
  <c r="C7" i="5" s="1"/>
  <c r="O7" i="3"/>
  <c r="O8" i="3" s="1"/>
  <c r="D6" i="5" s="1"/>
  <c r="O33" i="4"/>
  <c r="O7" i="2"/>
  <c r="O8" i="2" s="1"/>
  <c r="C6" i="5" s="1"/>
  <c r="O19" i="3" l="1"/>
  <c r="O28" i="2"/>
  <c r="E37" i="2"/>
  <c r="D37" i="2"/>
  <c r="J37" i="2"/>
  <c r="O7" i="4"/>
  <c r="O8" i="4" s="1"/>
  <c r="I37" i="2"/>
  <c r="C37" i="2"/>
  <c r="F37" i="2"/>
  <c r="D37" i="4"/>
  <c r="J37" i="4"/>
  <c r="M37" i="4"/>
  <c r="H37" i="4"/>
  <c r="N37" i="4"/>
  <c r="C37" i="4"/>
  <c r="E37" i="4"/>
  <c r="K37" i="4"/>
  <c r="F37" i="4"/>
  <c r="L37" i="4"/>
  <c r="G37" i="4"/>
  <c r="I37" i="4"/>
  <c r="O19" i="4"/>
  <c r="O28" i="4"/>
  <c r="D9" i="5"/>
  <c r="E9" i="5" s="1"/>
  <c r="F9" i="5" s="1"/>
  <c r="K37" i="2"/>
  <c r="G37" i="3"/>
  <c r="M37" i="3"/>
  <c r="J37" i="3"/>
  <c r="F37" i="3"/>
  <c r="H37" i="3"/>
  <c r="N37" i="3"/>
  <c r="I37" i="3"/>
  <c r="C37" i="3"/>
  <c r="D37" i="3"/>
  <c r="E37" i="3"/>
  <c r="K37" i="3"/>
  <c r="L37" i="3"/>
  <c r="N37" i="2"/>
  <c r="H37" i="2"/>
  <c r="M37" i="2"/>
  <c r="L37" i="2"/>
  <c r="G37" i="2"/>
  <c r="E6" i="5"/>
  <c r="F6" i="5" s="1"/>
  <c r="O36" i="2" l="1"/>
  <c r="C10" i="5" s="1"/>
  <c r="C8" i="5"/>
  <c r="E8" i="5" s="1"/>
  <c r="F8" i="5" s="1"/>
  <c r="O36" i="3"/>
  <c r="D7" i="5"/>
  <c r="E7" i="5" s="1"/>
  <c r="F7" i="5" s="1"/>
  <c r="O36" i="4"/>
  <c r="D10" i="5" l="1"/>
  <c r="E10" i="5" s="1"/>
  <c r="F10" i="5" s="1"/>
</calcChain>
</file>

<file path=xl/sharedStrings.xml><?xml version="1.0" encoding="utf-8"?>
<sst xmlns="http://schemas.openxmlformats.org/spreadsheetml/2006/main" count="340" uniqueCount="52">
  <si>
    <t>계획한 지출</t>
  </si>
  <si>
    <t>직원 비용</t>
  </si>
  <si>
    <t>급여</t>
  </si>
  <si>
    <t>복지</t>
  </si>
  <si>
    <t>소계</t>
  </si>
  <si>
    <t>사무 비용</t>
  </si>
  <si>
    <t>사무실 임대</t>
  </si>
  <si>
    <t>가스</t>
  </si>
  <si>
    <t>전기</t>
  </si>
  <si>
    <t>수도</t>
  </si>
  <si>
    <t>전화</t>
  </si>
  <si>
    <t>인터넷 사용</t>
  </si>
  <si>
    <t>사무용품</t>
  </si>
  <si>
    <t>보안</t>
  </si>
  <si>
    <t>마케팅 비용</t>
  </si>
  <si>
    <t>웹 사이트 호스팅</t>
  </si>
  <si>
    <t>웹 사이트 업데이트</t>
  </si>
  <si>
    <t>자료 준비</t>
  </si>
  <si>
    <t>자료 인쇄</t>
  </si>
  <si>
    <t>마케팅 행사</t>
  </si>
  <si>
    <t>기타 비용</t>
  </si>
  <si>
    <t>교육/출장</t>
  </si>
  <si>
    <t>교육 수업</t>
  </si>
  <si>
    <t>교육 관련 출장 비용</t>
  </si>
  <si>
    <t>합계</t>
  </si>
  <si>
    <t>월별 계획된 지출</t>
  </si>
  <si>
    <t>총 계획된 지출</t>
  </si>
  <si>
    <t>1월</t>
  </si>
  <si>
    <t>2월</t>
  </si>
  <si>
    <t>3월</t>
  </si>
  <si>
    <t>4월</t>
  </si>
  <si>
    <t>5월</t>
  </si>
  <si>
    <t>6월</t>
  </si>
  <si>
    <t>7월</t>
  </si>
  <si>
    <t>8월</t>
  </si>
  <si>
    <t>세부 지출 예상 항목</t>
  </si>
  <si>
    <t>음영 처리된 셀은 계산 결과입니다.</t>
  </si>
  <si>
    <t>9월</t>
  </si>
  <si>
    <t>10월</t>
  </si>
  <si>
    <t>11월</t>
  </si>
  <si>
    <t>12월</t>
  </si>
  <si>
    <t>연도</t>
  </si>
  <si>
    <t xml:space="preserve"> </t>
  </si>
  <si>
    <t>실제 지출</t>
  </si>
  <si>
    <t>월별 실제 지출</t>
  </si>
  <si>
    <t>총 실제 지출</t>
  </si>
  <si>
    <t>지출 차이</t>
  </si>
  <si>
    <t>지출 범주</t>
  </si>
  <si>
    <t>차이 비율</t>
  </si>
  <si>
    <t>실제 지출</t>
    <phoneticPr fontId="3" type="noConversion"/>
  </si>
  <si>
    <t>지출 차이</t>
    <phoneticPr fontId="3" type="noConversion"/>
  </si>
  <si>
    <t>오빠두엑셀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</si>
</sst>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176" formatCode="&quot;₩&quot;#,##0.00_);[Red]\(&quot;₩&quot;#,##0.00\)"/>
    <numFmt numFmtId="177" formatCode="#,##0_);\(#,##0\)"/>
  </numFmts>
  <fonts count="61">
    <font>
      <sz val="9"/>
      <color theme="1" tint="0.24994659260841701"/>
      <name val="Malgun Gothic"/>
      <family val="3"/>
      <charset val="129"/>
    </font>
    <font>
      <b/>
      <sz val="11"/>
      <color theme="1"/>
      <name val="Microsoft Sans Serif"/>
      <family val="2"/>
      <charset val="129"/>
      <scheme val="minor"/>
    </font>
    <font>
      <b/>
      <sz val="16"/>
      <color theme="0"/>
      <name val="Malgun Gothic"/>
      <family val="3"/>
      <charset val="129"/>
    </font>
    <font>
      <sz val="8"/>
      <name val="Malgun Gothic"/>
      <family val="3"/>
      <charset val="129"/>
    </font>
    <font>
      <b/>
      <sz val="22"/>
      <color theme="1" tint="0.24994659260841701"/>
      <name val="Malgun Gothic"/>
      <family val="3"/>
      <charset val="129"/>
    </font>
    <font>
      <i/>
      <sz val="11"/>
      <color theme="3" tint="0.79995117038483843"/>
      <name val="Malgun Gothic"/>
      <family val="3"/>
      <charset val="129"/>
    </font>
    <font>
      <b/>
      <sz val="10"/>
      <color theme="2"/>
      <name val="Malgun Gothic"/>
      <family val="3"/>
      <charset val="129"/>
    </font>
    <font>
      <sz val="11"/>
      <color theme="1" tint="0.24994659260841701"/>
      <name val="Malgun Gothic"/>
      <family val="3"/>
      <charset val="129"/>
    </font>
    <font>
      <b/>
      <sz val="10"/>
      <color theme="1"/>
      <name val="Malgun Gothic"/>
      <family val="3"/>
      <charset val="129"/>
    </font>
    <font>
      <sz val="14"/>
      <color theme="3" tint="-0.249977111117893"/>
      <name val="Malgun Gothic"/>
      <family val="3"/>
      <charset val="129"/>
    </font>
    <font>
      <sz val="14"/>
      <color theme="1"/>
      <name val="Malgun Gothic"/>
      <family val="3"/>
      <charset val="129"/>
    </font>
    <font>
      <sz val="14"/>
      <color theme="0"/>
      <name val="Malgun Gothic"/>
      <family val="3"/>
      <charset val="129"/>
    </font>
    <font>
      <b/>
      <sz val="36"/>
      <color theme="0"/>
      <name val="Malgun Gothic"/>
      <family val="3"/>
      <charset val="129"/>
    </font>
    <font>
      <b/>
      <sz val="14"/>
      <color theme="1"/>
      <name val="Malgun Gothic"/>
      <family val="3"/>
      <charset val="129"/>
    </font>
    <font>
      <b/>
      <sz val="14"/>
      <color theme="3"/>
      <name val="Malgun Gothic"/>
      <family val="3"/>
      <charset val="129"/>
    </font>
    <font>
      <b/>
      <u/>
      <sz val="10"/>
      <color theme="1"/>
      <name val="Malgun Gothic"/>
      <family val="3"/>
      <charset val="129"/>
    </font>
    <font>
      <sz val="14"/>
      <color theme="6" tint="0.39997558519241921"/>
      <name val="Malgun Gothic"/>
      <family val="3"/>
      <charset val="129"/>
    </font>
    <font>
      <b/>
      <sz val="13"/>
      <color theme="3"/>
      <name val="Malgun Gothic"/>
      <family val="3"/>
      <charset val="129"/>
    </font>
    <font>
      <sz val="14"/>
      <color theme="3"/>
      <name val="Malgun Gothic"/>
      <family val="3"/>
      <charset val="129"/>
    </font>
    <font>
      <sz val="9"/>
      <color theme="6" tint="0.39997558519241921"/>
      <name val="Malgun Gothic"/>
      <family val="3"/>
      <charset val="129"/>
    </font>
    <font>
      <b/>
      <sz val="14"/>
      <color theme="0"/>
      <name val="Malgun Gothic"/>
      <family val="3"/>
      <charset val="129"/>
    </font>
    <font>
      <b/>
      <sz val="10"/>
      <color theme="0"/>
      <name val="Malgun Gothic"/>
      <family val="3"/>
      <charset val="129"/>
    </font>
    <font>
      <sz val="9"/>
      <color theme="1"/>
      <name val="Malgun Gothic"/>
      <family val="3"/>
      <charset val="129"/>
    </font>
    <font>
      <sz val="10"/>
      <color theme="1"/>
      <name val="Malgun Gothic"/>
      <family val="3"/>
      <charset val="129"/>
    </font>
    <font>
      <b/>
      <i/>
      <sz val="10"/>
      <color theme="1"/>
      <name val="Malgun Gothic"/>
      <family val="3"/>
      <charset val="129"/>
    </font>
    <font>
      <i/>
      <sz val="11"/>
      <color theme="0"/>
      <name val="Malgun Gothic"/>
      <family val="3"/>
      <charset val="129"/>
    </font>
    <font>
      <b/>
      <sz val="10"/>
      <color theme="1" tint="0.24994659260841701"/>
      <name val="Malgun Gothic"/>
      <family val="3"/>
      <charset val="129"/>
    </font>
    <font>
      <sz val="10"/>
      <color theme="1" tint="0.24994659260841701"/>
      <name val="Malgun Gothic"/>
      <family val="3"/>
      <charset val="129"/>
    </font>
    <font>
      <b/>
      <sz val="14"/>
      <color theme="2"/>
      <name val="Malgun Gothic"/>
      <family val="3"/>
      <charset val="129"/>
    </font>
    <font>
      <b/>
      <sz val="14"/>
      <color theme="3" tint="-0.499984740745262"/>
      <name val="Malgun Gothic"/>
      <family val="3"/>
      <charset val="129"/>
    </font>
    <font>
      <b/>
      <sz val="9"/>
      <name val="Malgun Gothic"/>
      <family val="3"/>
      <charset val="129"/>
    </font>
    <font>
      <b/>
      <sz val="16"/>
      <color theme="3"/>
      <name val="Malgun Gothic"/>
      <family val="3"/>
      <charset val="129"/>
    </font>
    <font>
      <sz val="11"/>
      <color theme="6" tint="0.39997558519241921"/>
      <name val="Malgun Gothic"/>
      <family val="3"/>
      <charset val="129"/>
    </font>
    <font>
      <sz val="10"/>
      <color theme="5" tint="0.79998168889431442"/>
      <name val="Malgun Gothic"/>
      <family val="3"/>
      <charset val="129"/>
    </font>
    <font>
      <sz val="14"/>
      <color theme="3" tint="-0.249977111117893"/>
      <name val="Malgun Gothic"/>
      <family val="2"/>
    </font>
    <font>
      <sz val="14"/>
      <color theme="1"/>
      <name val="Malgun Gothic"/>
      <family val="2"/>
    </font>
    <font>
      <sz val="14"/>
      <color theme="0"/>
      <name val="Malgun Gothic"/>
      <family val="2"/>
    </font>
    <font>
      <b/>
      <sz val="36"/>
      <color theme="0"/>
      <name val="Malgun Gothic"/>
      <family val="2"/>
    </font>
    <font>
      <b/>
      <sz val="14"/>
      <color theme="1"/>
      <name val="Malgun Gothic"/>
      <family val="2"/>
    </font>
    <font>
      <b/>
      <sz val="16"/>
      <color theme="0"/>
      <name val="Malgun Gothic"/>
      <family val="2"/>
    </font>
    <font>
      <b/>
      <sz val="14"/>
      <color theme="3"/>
      <name val="Malgun Gothic"/>
      <family val="2"/>
    </font>
    <font>
      <b/>
      <u/>
      <sz val="10"/>
      <color theme="1"/>
      <name val="Malgun Gothic"/>
      <family val="2"/>
    </font>
    <font>
      <i/>
      <sz val="11"/>
      <color theme="0"/>
      <name val="Malgun Gothic"/>
      <family val="2"/>
    </font>
    <font>
      <sz val="14"/>
      <color theme="6" tint="0.39997558519241921"/>
      <name val="Malgun Gothic"/>
      <family val="2"/>
    </font>
    <font>
      <b/>
      <sz val="13"/>
      <color theme="3"/>
      <name val="Malgun Gothic"/>
      <family val="2"/>
    </font>
    <font>
      <sz val="14"/>
      <color theme="3"/>
      <name val="Malgun Gothic"/>
      <family val="2"/>
    </font>
    <font>
      <b/>
      <sz val="14"/>
      <color theme="0"/>
      <name val="Malgun Gothic"/>
      <family val="2"/>
    </font>
    <font>
      <sz val="9"/>
      <color theme="6" tint="0.39997558519241921"/>
      <name val="Malgun Gothic"/>
      <family val="2"/>
    </font>
    <font>
      <sz val="10"/>
      <color theme="1"/>
      <name val="Malgun Gothic"/>
      <family val="2"/>
    </font>
    <font>
      <b/>
      <sz val="10"/>
      <color theme="0"/>
      <name val="Malgun Gothic"/>
      <family val="2"/>
    </font>
    <font>
      <sz val="9"/>
      <color theme="1" tint="0.24994659260841701"/>
      <name val="Malgun Gothic"/>
      <family val="2"/>
    </font>
    <font>
      <b/>
      <sz val="10"/>
      <name val="Malgun Gothic"/>
      <family val="2"/>
    </font>
    <font>
      <b/>
      <sz val="10"/>
      <color theme="1"/>
      <name val="Malgun Gothic"/>
      <family val="2"/>
    </font>
    <font>
      <b/>
      <i/>
      <sz val="10"/>
      <color theme="1"/>
      <name val="Malgun Gothic"/>
      <family val="2"/>
    </font>
    <font>
      <sz val="9"/>
      <name val="Malgun Gothic"/>
      <family val="2"/>
    </font>
    <font>
      <b/>
      <sz val="14"/>
      <color theme="2"/>
      <name val="Malgun Gothic"/>
      <family val="2"/>
    </font>
    <font>
      <b/>
      <sz val="14"/>
      <color theme="3" tint="-0.499984740745262"/>
      <name val="Malgun Gothic"/>
      <family val="2"/>
    </font>
    <font>
      <b/>
      <sz val="9"/>
      <color theme="1"/>
      <name val="Malgun Gothic"/>
      <family val="2"/>
    </font>
    <font>
      <sz val="9"/>
      <color theme="1"/>
      <name val="Malgun Gothic"/>
      <family val="2"/>
    </font>
    <font>
      <i/>
      <sz val="11"/>
      <color theme="3" tint="0.79995117038483843"/>
      <name val="Malgun Gothic"/>
      <family val="2"/>
    </font>
    <font>
      <b/>
      <sz val="10"/>
      <color theme="3" tint="-0.499984740745262"/>
      <name val="Malgun Gothic"/>
      <family val="2"/>
    </font>
  </fonts>
  <fills count="14">
    <fill>
      <patternFill patternType="none"/>
    </fill>
    <fill>
      <patternFill patternType="gray125"/>
    </fill>
    <fill>
      <patternFill patternType="solid">
        <fgColor theme="5" tint="-0.499984740745262"/>
        <bgColor indexed="64"/>
      </patternFill>
    </fill>
    <fill>
      <patternFill patternType="solid">
        <fgColor theme="3" tint="0.89996032593768116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3" tint="-0.499984740745262"/>
        <bgColor indexed="64"/>
      </patternFill>
    </fill>
    <fill>
      <patternFill patternType="solid">
        <fgColor theme="6" tint="0.3999450666829432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/>
        <bgColor indexed="64"/>
      </patternFill>
    </fill>
  </fills>
  <borders count="37">
    <border>
      <left/>
      <right/>
      <top/>
      <bottom/>
      <diagonal/>
    </border>
    <border>
      <left style="thin">
        <color theme="5" tint="-0.499984740745262"/>
      </left>
      <right style="thin">
        <color theme="5" tint="-0.499984740745262"/>
      </right>
      <top style="thin">
        <color theme="5" tint="-0.499984740745262"/>
      </top>
      <bottom style="thin">
        <color theme="5" tint="-0.499984740745262"/>
      </bottom>
      <diagonal/>
    </border>
    <border>
      <left style="medium">
        <color theme="6" tint="0.39997558519241921"/>
      </left>
      <right style="medium">
        <color theme="6" tint="0.39997558519241921"/>
      </right>
      <top style="medium">
        <color theme="6" tint="0.39997558519241921"/>
      </top>
      <bottom style="medium">
        <color theme="6" tint="0.39997558519241921"/>
      </bottom>
      <diagonal/>
    </border>
    <border>
      <left/>
      <right/>
      <top/>
      <bottom style="medium">
        <color theme="6" tint="0.39997558519241921"/>
      </bottom>
      <diagonal/>
    </border>
    <border>
      <left/>
      <right/>
      <top style="medium">
        <color theme="6" tint="0.39997558519241921"/>
      </top>
      <bottom/>
      <diagonal/>
    </border>
    <border>
      <left style="medium">
        <color theme="6" tint="0.39997558519241921"/>
      </left>
      <right style="medium">
        <color theme="6" tint="0.39997558519241921"/>
      </right>
      <top style="medium">
        <color theme="6" tint="0.39997558519241921"/>
      </top>
      <bottom/>
      <diagonal/>
    </border>
    <border>
      <left/>
      <right style="medium">
        <color theme="6" tint="0.39997558519241921"/>
      </right>
      <top/>
      <bottom/>
      <diagonal/>
    </border>
    <border>
      <left/>
      <right style="medium">
        <color theme="6" tint="0.39997558519241921"/>
      </right>
      <top style="medium">
        <color theme="6" tint="0.39997558519241921"/>
      </top>
      <bottom/>
      <diagonal/>
    </border>
    <border>
      <left style="medium">
        <color theme="6" tint="0.39997558519241921"/>
      </left>
      <right style="medium">
        <color theme="6" tint="0.39997558519241921"/>
      </right>
      <top/>
      <bottom/>
      <diagonal/>
    </border>
    <border>
      <left/>
      <right/>
      <top/>
      <bottom style="medium">
        <color theme="6" tint="0.39994506668294322"/>
      </bottom>
      <diagonal/>
    </border>
    <border>
      <left/>
      <right/>
      <top style="medium">
        <color theme="6" tint="0.39994506668294322"/>
      </top>
      <bottom style="medium">
        <color theme="6" tint="0.39994506668294322"/>
      </bottom>
      <diagonal/>
    </border>
    <border>
      <left/>
      <right/>
      <top style="medium">
        <color theme="6" tint="0.39994506668294322"/>
      </top>
      <bottom/>
      <diagonal/>
    </border>
    <border>
      <left/>
      <right style="medium">
        <color theme="6" tint="0.39991454817346722"/>
      </right>
      <top style="medium">
        <color theme="6" tint="0.39994506668294322"/>
      </top>
      <bottom/>
      <diagonal/>
    </border>
    <border>
      <left style="medium">
        <color theme="6" tint="0.39994506668294322"/>
      </left>
      <right style="medium">
        <color theme="6" tint="0.39994506668294322"/>
      </right>
      <top style="medium">
        <color theme="6" tint="0.39994506668294322"/>
      </top>
      <bottom style="medium">
        <color theme="6" tint="0.39994506668294322"/>
      </bottom>
      <diagonal/>
    </border>
    <border>
      <left/>
      <right style="medium">
        <color theme="6" tint="0.39994506668294322"/>
      </right>
      <top/>
      <bottom style="medium">
        <color theme="6" tint="0.39994506668294322"/>
      </bottom>
      <diagonal/>
    </border>
    <border>
      <left style="medium">
        <color theme="6" tint="0.39994506668294322"/>
      </left>
      <right style="medium">
        <color theme="6" tint="0.39994506668294322"/>
      </right>
      <top/>
      <bottom style="medium">
        <color theme="6" tint="0.39994506668294322"/>
      </bottom>
      <diagonal/>
    </border>
    <border>
      <left style="medium">
        <color theme="6" tint="0.39994506668294322"/>
      </left>
      <right/>
      <top/>
      <bottom style="medium">
        <color theme="6" tint="0.39994506668294322"/>
      </bottom>
      <diagonal/>
    </border>
    <border>
      <left/>
      <right style="medium">
        <color theme="6" tint="0.39994506668294322"/>
      </right>
      <top style="medium">
        <color theme="6" tint="0.39994506668294322"/>
      </top>
      <bottom style="medium">
        <color theme="6" tint="0.39994506668294322"/>
      </bottom>
      <diagonal/>
    </border>
    <border>
      <left style="medium">
        <color theme="6" tint="0.39994506668294322"/>
      </left>
      <right/>
      <top style="medium">
        <color theme="6" tint="0.39994506668294322"/>
      </top>
      <bottom style="medium">
        <color theme="6" tint="0.39994506668294322"/>
      </bottom>
      <diagonal/>
    </border>
    <border>
      <left/>
      <right style="medium">
        <color theme="6" tint="0.39994506668294322"/>
      </right>
      <top style="medium">
        <color theme="6" tint="0.39994506668294322"/>
      </top>
      <bottom/>
      <diagonal/>
    </border>
    <border>
      <left style="medium">
        <color theme="6" tint="0.39994506668294322"/>
      </left>
      <right style="medium">
        <color theme="6" tint="0.39994506668294322"/>
      </right>
      <top style="medium">
        <color theme="6" tint="0.39994506668294322"/>
      </top>
      <bottom/>
      <diagonal/>
    </border>
    <border>
      <left style="medium">
        <color theme="6" tint="0.39994506668294322"/>
      </left>
      <right/>
      <top style="medium">
        <color theme="6" tint="0.39994506668294322"/>
      </top>
      <bottom/>
      <diagonal/>
    </border>
    <border>
      <left/>
      <right style="medium">
        <color theme="6" tint="0.39994506668294322"/>
      </right>
      <top style="medium">
        <color theme="6" tint="0.39991454817346722"/>
      </top>
      <bottom style="medium">
        <color theme="6" tint="0.39994506668294322"/>
      </bottom>
      <diagonal/>
    </border>
    <border>
      <left style="medium">
        <color theme="6" tint="0.39994506668294322"/>
      </left>
      <right style="medium">
        <color theme="6" tint="0.39994506668294322"/>
      </right>
      <top style="medium">
        <color theme="6" tint="0.39991454817346722"/>
      </top>
      <bottom style="medium">
        <color theme="6" tint="0.39994506668294322"/>
      </bottom>
      <diagonal/>
    </border>
    <border>
      <left style="medium">
        <color theme="6" tint="0.39994506668294322"/>
      </left>
      <right/>
      <top style="medium">
        <color theme="6" tint="0.39991454817346722"/>
      </top>
      <bottom style="medium">
        <color theme="6" tint="0.39994506668294322"/>
      </bottom>
      <diagonal/>
    </border>
    <border>
      <left style="medium">
        <color theme="6" tint="0.39988402966399123"/>
      </left>
      <right/>
      <top style="medium">
        <color theme="6" tint="0.39991454817346722"/>
      </top>
      <bottom style="medium">
        <color theme="6" tint="0.39994506668294322"/>
      </bottom>
      <diagonal/>
    </border>
    <border>
      <left style="medium">
        <color theme="6" tint="0.39988402966399123"/>
      </left>
      <right/>
      <top style="medium">
        <color theme="6" tint="0.39994506668294322"/>
      </top>
      <bottom style="medium">
        <color theme="6" tint="0.39994506668294322"/>
      </bottom>
      <diagonal/>
    </border>
    <border>
      <left/>
      <right style="medium">
        <color theme="6" tint="0.39994506668294322"/>
      </right>
      <top style="medium">
        <color theme="6" tint="0.39994506668294322"/>
      </top>
      <bottom style="medium">
        <color theme="6" tint="0.39985351115451523"/>
      </bottom>
      <diagonal/>
    </border>
    <border>
      <left style="medium">
        <color theme="6" tint="0.39994506668294322"/>
      </left>
      <right style="medium">
        <color theme="6" tint="0.39994506668294322"/>
      </right>
      <top style="medium">
        <color theme="6" tint="0.39994506668294322"/>
      </top>
      <bottom style="medium">
        <color theme="6" tint="0.39985351115451523"/>
      </bottom>
      <diagonal/>
    </border>
    <border>
      <left style="medium">
        <color theme="6" tint="0.39994506668294322"/>
      </left>
      <right/>
      <top style="medium">
        <color theme="6" tint="0.39994506668294322"/>
      </top>
      <bottom style="medium">
        <color theme="6" tint="0.39985351115451523"/>
      </bottom>
      <diagonal/>
    </border>
    <border>
      <left style="medium">
        <color theme="6" tint="0.39988402966399123"/>
      </left>
      <right style="medium">
        <color theme="6" tint="0.39985351115451523"/>
      </right>
      <top style="medium">
        <color theme="6" tint="0.39994506668294322"/>
      </top>
      <bottom style="medium">
        <color theme="6" tint="0.39985351115451523"/>
      </bottom>
      <diagonal/>
    </border>
    <border>
      <left/>
      <right style="medium">
        <color theme="6" tint="0.39997558519241921"/>
      </right>
      <top style="medium">
        <color theme="6" tint="0.39997558519241921"/>
      </top>
      <bottom style="medium">
        <color theme="6" tint="0.39997558519241921"/>
      </bottom>
      <diagonal/>
    </border>
    <border>
      <left/>
      <right style="medium">
        <color theme="6" tint="0.39994506668294322"/>
      </right>
      <top/>
      <bottom style="medium">
        <color theme="6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theme="6" tint="0.39994506668294322"/>
      </left>
      <right/>
      <top/>
      <bottom/>
      <diagonal/>
    </border>
    <border>
      <left style="medium">
        <color theme="6" tint="0.39994506668294322"/>
      </left>
      <right style="medium">
        <color theme="6" tint="0.39994506668294322"/>
      </right>
      <top/>
      <bottom/>
      <diagonal/>
    </border>
    <border>
      <left/>
      <right style="medium">
        <color theme="6" tint="0.39994506668294322"/>
      </right>
      <top/>
      <bottom/>
      <diagonal/>
    </border>
  </borders>
  <cellStyleXfs count="7">
    <xf numFmtId="0" fontId="0" fillId="10" borderId="0"/>
    <xf numFmtId="0" fontId="4" fillId="0" borderId="0" applyNumberFormat="0" applyFill="0" applyProtection="0">
      <alignment vertical="center"/>
    </xf>
    <xf numFmtId="0" fontId="2" fillId="4" borderId="0" applyNumberFormat="0" applyProtection="0">
      <alignment vertical="center"/>
    </xf>
    <xf numFmtId="0" fontId="6" fillId="2" borderId="0" applyNumberFormat="0" applyProtection="0">
      <alignment vertical="center"/>
    </xf>
    <xf numFmtId="0" fontId="7" fillId="3" borderId="1" applyNumberFormat="0" applyProtection="0">
      <alignment horizontal="left" vertical="center" indent="1"/>
    </xf>
    <xf numFmtId="0" fontId="5" fillId="0" borderId="0" applyNumberFormat="0" applyFill="0" applyBorder="0" applyAlignment="0" applyProtection="0"/>
    <xf numFmtId="0" fontId="1" fillId="0" borderId="33" applyNumberFormat="0" applyFill="0" applyAlignment="0" applyProtection="0">
      <alignment vertical="center"/>
    </xf>
  </cellStyleXfs>
  <cellXfs count="173">
    <xf numFmtId="0" fontId="0" fillId="10" borderId="0" xfId="0"/>
    <xf numFmtId="0" fontId="9" fillId="8" borderId="0" xfId="0" applyFont="1" applyFill="1" applyAlignment="1">
      <alignment horizontal="left" vertical="top" wrapText="1" indent="1"/>
    </xf>
    <xf numFmtId="0" fontId="10" fillId="8" borderId="0" xfId="0" applyFont="1" applyFill="1" applyAlignment="1">
      <alignment horizontal="left" vertical="top" indent="1"/>
    </xf>
    <xf numFmtId="0" fontId="10" fillId="4" borderId="0" xfId="0" applyFont="1" applyFill="1" applyAlignment="1">
      <alignment horizontal="left" vertical="top" indent="1"/>
    </xf>
    <xf numFmtId="0" fontId="11" fillId="4" borderId="0" xfId="0" applyFont="1" applyFill="1" applyAlignment="1">
      <alignment horizontal="left" vertical="top" indent="1"/>
    </xf>
    <xf numFmtId="0" fontId="10" fillId="10" borderId="0" xfId="0" applyFont="1"/>
    <xf numFmtId="0" fontId="9" fillId="8" borderId="0" xfId="0" applyFont="1" applyFill="1" applyAlignment="1">
      <alignment horizontal="left" vertical="top" indent="1"/>
    </xf>
    <xf numFmtId="0" fontId="12" fillId="8" borderId="0" xfId="1" applyFont="1" applyFill="1" applyAlignment="1">
      <alignment horizontal="left" vertical="top" indent="1"/>
    </xf>
    <xf numFmtId="0" fontId="13" fillId="8" borderId="0" xfId="0" applyFont="1" applyFill="1" applyAlignment="1">
      <alignment horizontal="left" vertical="top" indent="1"/>
    </xf>
    <xf numFmtId="0" fontId="13" fillId="4" borderId="0" xfId="0" applyFont="1" applyFill="1" applyAlignment="1">
      <alignment horizontal="left" vertical="top" indent="1"/>
    </xf>
    <xf numFmtId="0" fontId="14" fillId="4" borderId="0" xfId="0" applyFont="1" applyFill="1" applyAlignment="1">
      <alignment horizontal="center" vertical="top"/>
    </xf>
    <xf numFmtId="0" fontId="15" fillId="8" borderId="0" xfId="0" applyFont="1" applyFill="1" applyAlignment="1">
      <alignment horizontal="left" vertical="top" indent="1"/>
    </xf>
    <xf numFmtId="0" fontId="15" fillId="4" borderId="0" xfId="0" applyFont="1" applyFill="1" applyAlignment="1">
      <alignment horizontal="left" vertical="top" indent="1"/>
    </xf>
    <xf numFmtId="0" fontId="16" fillId="10" borderId="0" xfId="0" applyFont="1"/>
    <xf numFmtId="0" fontId="17" fillId="12" borderId="0" xfId="3" applyFont="1" applyFill="1" applyAlignment="1">
      <alignment horizontal="left"/>
    </xf>
    <xf numFmtId="0" fontId="17" fillId="12" borderId="0" xfId="3" applyFont="1" applyFill="1" applyAlignment="1">
      <alignment horizontal="center"/>
    </xf>
    <xf numFmtId="0" fontId="17" fillId="12" borderId="0" xfId="3" applyNumberFormat="1" applyFont="1" applyFill="1" applyAlignment="1">
      <alignment horizontal="center"/>
    </xf>
    <xf numFmtId="0" fontId="18" fillId="10" borderId="0" xfId="0" applyFont="1"/>
    <xf numFmtId="0" fontId="21" fillId="4" borderId="10" xfId="0" applyFont="1" applyFill="1" applyBorder="1" applyAlignment="1">
      <alignment horizontal="left" vertical="center" indent="1"/>
    </xf>
    <xf numFmtId="0" fontId="8" fillId="10" borderId="0" xfId="0" applyFont="1" applyAlignment="1">
      <alignment horizontal="center"/>
    </xf>
    <xf numFmtId="0" fontId="23" fillId="10" borderId="0" xfId="0" applyFont="1" applyAlignment="1">
      <alignment horizontal="center"/>
    </xf>
    <xf numFmtId="0" fontId="20" fillId="7" borderId="14" xfId="4" applyFont="1" applyFill="1" applyBorder="1">
      <alignment horizontal="left" vertical="center" indent="1"/>
    </xf>
    <xf numFmtId="0" fontId="19" fillId="12" borderId="15" xfId="4" applyFont="1" applyFill="1" applyBorder="1">
      <alignment horizontal="left" vertical="center" indent="1"/>
    </xf>
    <xf numFmtId="0" fontId="19" fillId="12" borderId="15" xfId="4" applyNumberFormat="1" applyFont="1" applyFill="1" applyBorder="1">
      <alignment horizontal="left" vertical="center" indent="1"/>
    </xf>
    <xf numFmtId="0" fontId="19" fillId="12" borderId="16" xfId="4" applyFont="1" applyFill="1" applyBorder="1">
      <alignment horizontal="left" vertical="center" indent="1"/>
    </xf>
    <xf numFmtId="0" fontId="20" fillId="6" borderId="14" xfId="4" applyFont="1" applyFill="1" applyBorder="1">
      <alignment horizontal="left" vertical="center" indent="1"/>
    </xf>
    <xf numFmtId="0" fontId="19" fillId="12" borderId="15" xfId="4" applyFont="1" applyFill="1" applyBorder="1" applyAlignment="1">
      <alignment horizontal="left"/>
    </xf>
    <xf numFmtId="0" fontId="19" fillId="12" borderId="15" xfId="4" applyNumberFormat="1" applyFont="1" applyFill="1" applyBorder="1" applyAlignment="1">
      <alignment horizontal="left"/>
    </xf>
    <xf numFmtId="0" fontId="19" fillId="12" borderId="16" xfId="4" applyFont="1" applyFill="1" applyBorder="1" applyAlignment="1">
      <alignment horizontal="left"/>
    </xf>
    <xf numFmtId="0" fontId="23" fillId="10" borderId="0" xfId="0" applyFont="1"/>
    <xf numFmtId="0" fontId="26" fillId="11" borderId="19" xfId="0" applyFont="1" applyFill="1" applyBorder="1" applyAlignment="1">
      <alignment horizontal="left" vertical="center" indent="1"/>
    </xf>
    <xf numFmtId="0" fontId="20" fillId="5" borderId="14" xfId="4" applyFont="1" applyFill="1" applyBorder="1">
      <alignment horizontal="left" vertical="center" indent="1"/>
    </xf>
    <xf numFmtId="0" fontId="21" fillId="4" borderId="17" xfId="0" applyFont="1" applyFill="1" applyBorder="1" applyAlignment="1">
      <alignment horizontal="left" vertical="center" indent="1"/>
    </xf>
    <xf numFmtId="0" fontId="8" fillId="11" borderId="19" xfId="0" applyFont="1" applyFill="1" applyBorder="1" applyAlignment="1">
      <alignment horizontal="left" vertical="center" indent="1"/>
    </xf>
    <xf numFmtId="0" fontId="27" fillId="11" borderId="19" xfId="0" applyFont="1" applyFill="1" applyBorder="1" applyAlignment="1">
      <alignment horizontal="left" vertical="center" indent="2"/>
    </xf>
    <xf numFmtId="0" fontId="26" fillId="11" borderId="19" xfId="0" applyFont="1" applyFill="1" applyBorder="1" applyAlignment="1">
      <alignment horizontal="left" vertical="center" indent="2"/>
    </xf>
    <xf numFmtId="0" fontId="16" fillId="10" borderId="6" xfId="0" applyFont="1" applyBorder="1"/>
    <xf numFmtId="0" fontId="28" fillId="9" borderId="0" xfId="3" applyFont="1" applyFill="1" applyAlignment="1">
      <alignment horizontal="left" vertical="center" indent="1"/>
    </xf>
    <xf numFmtId="0" fontId="29" fillId="9" borderId="0" xfId="3" applyFont="1" applyFill="1">
      <alignment vertical="center"/>
    </xf>
    <xf numFmtId="0" fontId="21" fillId="4" borderId="5" xfId="0" applyFont="1" applyFill="1" applyBorder="1" applyAlignment="1">
      <alignment horizontal="left" vertical="center" indent="1"/>
    </xf>
    <xf numFmtId="0" fontId="23" fillId="10" borderId="4" xfId="0" applyFont="1" applyBorder="1"/>
    <xf numFmtId="176" fontId="0" fillId="13" borderId="17" xfId="0" applyNumberFormat="1" applyFill="1" applyBorder="1" applyAlignment="1">
      <alignment horizontal="right" vertical="center"/>
    </xf>
    <xf numFmtId="176" fontId="0" fillId="13" borderId="13" xfId="0" applyNumberFormat="1" applyFill="1" applyBorder="1" applyAlignment="1">
      <alignment horizontal="right" vertical="center"/>
    </xf>
    <xf numFmtId="176" fontId="0" fillId="11" borderId="18" xfId="0" applyNumberFormat="1" applyFill="1" applyBorder="1" applyAlignment="1">
      <alignment horizontal="right" vertical="center"/>
    </xf>
    <xf numFmtId="177" fontId="23" fillId="10" borderId="0" xfId="0" applyNumberFormat="1" applyFont="1" applyAlignment="1">
      <alignment horizontal="right"/>
    </xf>
    <xf numFmtId="177" fontId="8" fillId="10" borderId="0" xfId="0" applyNumberFormat="1" applyFont="1" applyAlignment="1">
      <alignment horizontal="right"/>
    </xf>
    <xf numFmtId="177" fontId="24" fillId="10" borderId="0" xfId="0" applyNumberFormat="1" applyFont="1" applyAlignment="1">
      <alignment horizontal="right"/>
    </xf>
    <xf numFmtId="176" fontId="0" fillId="11" borderId="20" xfId="0" applyNumberFormat="1" applyFill="1" applyBorder="1" applyAlignment="1">
      <alignment vertical="center"/>
    </xf>
    <xf numFmtId="176" fontId="0" fillId="11" borderId="21" xfId="0" applyNumberFormat="1" applyFill="1" applyBorder="1" applyAlignment="1">
      <alignment vertical="center"/>
    </xf>
    <xf numFmtId="0" fontId="19" fillId="10" borderId="0" xfId="0" applyFont="1" applyAlignment="1">
      <alignment wrapText="1"/>
    </xf>
    <xf numFmtId="176" fontId="22" fillId="11" borderId="20" xfId="0" applyNumberFormat="1" applyFont="1" applyFill="1" applyBorder="1" applyAlignment="1">
      <alignment vertical="center"/>
    </xf>
    <xf numFmtId="176" fontId="30" fillId="11" borderId="2" xfId="0" applyNumberFormat="1" applyFont="1" applyFill="1" applyBorder="1" applyAlignment="1">
      <alignment horizontal="right"/>
    </xf>
    <xf numFmtId="176" fontId="30" fillId="11" borderId="8" xfId="0" applyNumberFormat="1" applyFont="1" applyFill="1" applyBorder="1" applyAlignment="1">
      <alignment horizontal="right"/>
    </xf>
    <xf numFmtId="0" fontId="9" fillId="8" borderId="0" xfId="0" applyFont="1" applyFill="1" applyAlignment="1">
      <alignment horizontal="left" vertical="top" wrapText="1"/>
    </xf>
    <xf numFmtId="0" fontId="2" fillId="4" borderId="0" xfId="2" applyAlignment="1"/>
    <xf numFmtId="0" fontId="31" fillId="4" borderId="0" xfId="2" applyFont="1" applyAlignment="1">
      <alignment horizontal="center" wrapText="1"/>
    </xf>
    <xf numFmtId="0" fontId="16" fillId="10" borderId="0" xfId="0" applyFont="1" applyAlignment="1">
      <alignment wrapText="1"/>
    </xf>
    <xf numFmtId="0" fontId="6" fillId="6" borderId="0" xfId="3" applyFill="1" applyAlignment="1">
      <alignment horizontal="left" vertical="center" indent="2"/>
    </xf>
    <xf numFmtId="0" fontId="6" fillId="5" borderId="0" xfId="3" applyFill="1" applyAlignment="1">
      <alignment horizontal="left" vertical="center" indent="2"/>
    </xf>
    <xf numFmtId="0" fontId="6" fillId="7" borderId="0" xfId="3" applyFill="1" applyAlignment="1">
      <alignment horizontal="left" vertical="center" indent="2"/>
    </xf>
    <xf numFmtId="0" fontId="6" fillId="4" borderId="0" xfId="3" applyFill="1" applyAlignment="1">
      <alignment horizontal="left" vertical="center" indent="2"/>
    </xf>
    <xf numFmtId="0" fontId="32" fillId="10" borderId="0" xfId="0" applyFont="1" applyAlignment="1">
      <alignment vertical="center" wrapText="1"/>
    </xf>
    <xf numFmtId="0" fontId="0" fillId="11" borderId="2" xfId="0" applyFill="1" applyBorder="1" applyAlignment="1">
      <alignment horizontal="left" vertical="center" indent="1"/>
    </xf>
    <xf numFmtId="9" fontId="0" fillId="11" borderId="2" xfId="0" applyNumberFormat="1" applyFill="1" applyBorder="1" applyAlignment="1">
      <alignment horizontal="right" vertical="center" indent="2"/>
    </xf>
    <xf numFmtId="0" fontId="0" fillId="11" borderId="2" xfId="0" applyFill="1" applyBorder="1" applyAlignment="1">
      <alignment horizontal="left" vertical="center" indent="2"/>
    </xf>
    <xf numFmtId="0" fontId="0" fillId="11" borderId="5" xfId="0" applyFill="1" applyBorder="1" applyAlignment="1">
      <alignment horizontal="left" vertical="center" indent="2"/>
    </xf>
    <xf numFmtId="9" fontId="0" fillId="11" borderId="5" xfId="0" applyNumberFormat="1" applyFill="1" applyBorder="1" applyAlignment="1">
      <alignment horizontal="right" vertical="center" indent="2"/>
    </xf>
    <xf numFmtId="0" fontId="0" fillId="10" borderId="0" xfId="0" applyAlignment="1">
      <alignment horizontal="left" indent="1"/>
    </xf>
    <xf numFmtId="9" fontId="0" fillId="10" borderId="0" xfId="0" applyNumberFormat="1" applyAlignment="1">
      <alignment horizontal="right"/>
    </xf>
    <xf numFmtId="0" fontId="23" fillId="10" borderId="0" xfId="0" applyFont="1" applyAlignment="1">
      <alignment horizontal="left"/>
    </xf>
    <xf numFmtId="0" fontId="23" fillId="10" borderId="0" xfId="0" applyFont="1" applyAlignment="1">
      <alignment horizontal="left" indent="1"/>
    </xf>
    <xf numFmtId="0" fontId="10" fillId="10" borderId="0" xfId="0" applyFont="1" applyAlignment="1">
      <alignment wrapText="1"/>
    </xf>
    <xf numFmtId="176" fontId="0" fillId="11" borderId="2" xfId="0" applyNumberFormat="1" applyFill="1" applyBorder="1" applyAlignment="1">
      <alignment horizontal="right" vertical="center" indent="2"/>
    </xf>
    <xf numFmtId="176" fontId="0" fillId="11" borderId="5" xfId="0" applyNumberFormat="1" applyFill="1" applyBorder="1" applyAlignment="1">
      <alignment horizontal="right" vertical="center" indent="2"/>
    </xf>
    <xf numFmtId="176" fontId="0" fillId="10" borderId="0" xfId="0" applyNumberFormat="1" applyAlignment="1">
      <alignment horizontal="right"/>
    </xf>
    <xf numFmtId="0" fontId="34" fillId="8" borderId="0" xfId="0" applyFont="1" applyFill="1" applyAlignment="1">
      <alignment horizontal="left" vertical="top" wrapText="1" indent="1"/>
    </xf>
    <xf numFmtId="0" fontId="35" fillId="8" borderId="0" xfId="0" applyFont="1" applyFill="1" applyAlignment="1">
      <alignment horizontal="left" vertical="top" indent="1"/>
    </xf>
    <xf numFmtId="0" fontId="35" fillId="4" borderId="0" xfId="0" applyFont="1" applyFill="1" applyAlignment="1">
      <alignment horizontal="left" vertical="top" indent="1"/>
    </xf>
    <xf numFmtId="0" fontId="36" fillId="4" borderId="0" xfId="0" applyFont="1" applyFill="1" applyAlignment="1">
      <alignment horizontal="left" vertical="top" indent="1"/>
    </xf>
    <xf numFmtId="0" fontId="35" fillId="10" borderId="0" xfId="0" applyFont="1"/>
    <xf numFmtId="0" fontId="34" fillId="8" borderId="0" xfId="0" applyFont="1" applyFill="1" applyAlignment="1">
      <alignment horizontal="left" vertical="top" indent="1"/>
    </xf>
    <xf numFmtId="0" fontId="37" fillId="8" borderId="0" xfId="1" applyFont="1" applyFill="1" applyAlignment="1">
      <alignment horizontal="left" vertical="top" indent="1"/>
    </xf>
    <xf numFmtId="0" fontId="38" fillId="8" borderId="0" xfId="0" applyFont="1" applyFill="1" applyAlignment="1">
      <alignment horizontal="left" vertical="top" indent="1"/>
    </xf>
    <xf numFmtId="0" fontId="38" fillId="4" borderId="0" xfId="0" applyFont="1" applyFill="1" applyAlignment="1">
      <alignment horizontal="left" vertical="top" indent="1"/>
    </xf>
    <xf numFmtId="0" fontId="40" fillId="4" borderId="0" xfId="0" applyFont="1" applyFill="1" applyAlignment="1">
      <alignment horizontal="center" vertical="top"/>
    </xf>
    <xf numFmtId="0" fontId="41" fillId="8" borderId="0" xfId="0" applyFont="1" applyFill="1" applyAlignment="1">
      <alignment horizontal="left" vertical="top" indent="1"/>
    </xf>
    <xf numFmtId="0" fontId="41" fillId="4" borderId="0" xfId="0" applyFont="1" applyFill="1" applyAlignment="1">
      <alignment horizontal="left" vertical="top" indent="1"/>
    </xf>
    <xf numFmtId="0" fontId="43" fillId="10" borderId="0" xfId="0" applyFont="1"/>
    <xf numFmtId="0" fontId="44" fillId="12" borderId="0" xfId="3" applyFont="1" applyFill="1" applyAlignment="1">
      <alignment horizontal="left"/>
    </xf>
    <xf numFmtId="0" fontId="44" fillId="12" borderId="0" xfId="3" applyFont="1" applyFill="1" applyAlignment="1">
      <alignment horizontal="center"/>
    </xf>
    <xf numFmtId="0" fontId="44" fillId="12" borderId="0" xfId="3" applyNumberFormat="1" applyFont="1" applyFill="1" applyAlignment="1">
      <alignment horizontal="center"/>
    </xf>
    <xf numFmtId="0" fontId="45" fillId="10" borderId="0" xfId="0" applyFont="1"/>
    <xf numFmtId="0" fontId="46" fillId="6" borderId="9" xfId="4" applyFont="1" applyFill="1" applyBorder="1">
      <alignment horizontal="left" vertical="center" indent="1"/>
    </xf>
    <xf numFmtId="0" fontId="47" fillId="12" borderId="14" xfId="4" applyFont="1" applyFill="1" applyBorder="1">
      <alignment horizontal="left" vertical="center" indent="1"/>
    </xf>
    <xf numFmtId="0" fontId="47" fillId="12" borderId="15" xfId="4" applyFont="1" applyFill="1" applyBorder="1">
      <alignment horizontal="left" vertical="center" indent="1"/>
    </xf>
    <xf numFmtId="0" fontId="47" fillId="12" borderId="15" xfId="4" applyNumberFormat="1" applyFont="1" applyFill="1" applyBorder="1">
      <alignment horizontal="left" vertical="center" indent="1"/>
    </xf>
    <xf numFmtId="0" fontId="47" fillId="12" borderId="16" xfId="4" applyFont="1" applyFill="1" applyBorder="1">
      <alignment horizontal="left" vertical="center" indent="1"/>
    </xf>
    <xf numFmtId="0" fontId="48" fillId="10" borderId="0" xfId="0" applyFont="1"/>
    <xf numFmtId="0" fontId="49" fillId="4" borderId="10" xfId="0" applyFont="1" applyFill="1" applyBorder="1" applyAlignment="1">
      <alignment horizontal="left" vertical="center" indent="1"/>
    </xf>
    <xf numFmtId="176" fontId="50" fillId="13" borderId="17" xfId="0" applyNumberFormat="1" applyFont="1" applyFill="1" applyBorder="1" applyAlignment="1">
      <alignment horizontal="right" vertical="center"/>
    </xf>
    <xf numFmtId="176" fontId="50" fillId="13" borderId="13" xfId="0" applyNumberFormat="1" applyFont="1" applyFill="1" applyBorder="1" applyAlignment="1">
      <alignment horizontal="right" vertical="center"/>
    </xf>
    <xf numFmtId="176" fontId="50" fillId="11" borderId="18" xfId="0" applyNumberFormat="1" applyFont="1" applyFill="1" applyBorder="1" applyAlignment="1">
      <alignment horizontal="right" vertical="center"/>
    </xf>
    <xf numFmtId="0" fontId="51" fillId="11" borderId="11" xfId="0" applyFont="1" applyFill="1" applyBorder="1" applyAlignment="1">
      <alignment horizontal="left" vertical="center" indent="1"/>
    </xf>
    <xf numFmtId="176" fontId="50" fillId="11" borderId="19" xfId="0" applyNumberFormat="1" applyFont="1" applyFill="1" applyBorder="1" applyAlignment="1">
      <alignment vertical="center"/>
    </xf>
    <xf numFmtId="176" fontId="50" fillId="11" borderId="20" xfId="0" applyNumberFormat="1" applyFont="1" applyFill="1" applyBorder="1" applyAlignment="1">
      <alignment vertical="center"/>
    </xf>
    <xf numFmtId="176" fontId="50" fillId="11" borderId="21" xfId="0" applyNumberFormat="1" applyFont="1" applyFill="1" applyBorder="1" applyAlignment="1">
      <alignment vertical="center"/>
    </xf>
    <xf numFmtId="0" fontId="52" fillId="10" borderId="0" xfId="0" applyFont="1" applyAlignment="1">
      <alignment horizontal="center"/>
    </xf>
    <xf numFmtId="177" fontId="48" fillId="10" borderId="0" xfId="0" applyNumberFormat="1" applyFont="1" applyAlignment="1">
      <alignment horizontal="right"/>
    </xf>
    <xf numFmtId="177" fontId="52" fillId="10" borderId="0" xfId="0" applyNumberFormat="1" applyFont="1" applyAlignment="1">
      <alignment horizontal="right"/>
    </xf>
    <xf numFmtId="0" fontId="46" fillId="5" borderId="9" xfId="4" applyFont="1" applyFill="1" applyBorder="1">
      <alignment horizontal="left" vertical="center" indent="1"/>
    </xf>
    <xf numFmtId="0" fontId="51" fillId="11" borderId="36" xfId="0" applyFont="1" applyFill="1" applyBorder="1" applyAlignment="1">
      <alignment horizontal="left" vertical="center" indent="2"/>
    </xf>
    <xf numFmtId="176" fontId="50" fillId="11" borderId="35" xfId="0" applyNumberFormat="1" applyFont="1" applyFill="1" applyBorder="1" applyAlignment="1">
      <alignment horizontal="right" vertical="center"/>
    </xf>
    <xf numFmtId="176" fontId="50" fillId="11" borderId="34" xfId="0" applyNumberFormat="1" applyFont="1" applyFill="1" applyBorder="1" applyAlignment="1">
      <alignment horizontal="right" vertical="center"/>
    </xf>
    <xf numFmtId="0" fontId="48" fillId="10" borderId="0" xfId="0" applyFont="1" applyAlignment="1">
      <alignment horizontal="center"/>
    </xf>
    <xf numFmtId="177" fontId="53" fillId="10" borderId="0" xfId="0" applyNumberFormat="1" applyFont="1" applyAlignment="1">
      <alignment horizontal="right"/>
    </xf>
    <xf numFmtId="0" fontId="46" fillId="7" borderId="9" xfId="4" applyFont="1" applyFill="1" applyBorder="1">
      <alignment horizontal="left" vertical="center" indent="1"/>
    </xf>
    <xf numFmtId="0" fontId="51" fillId="11" borderId="19" xfId="0" applyFont="1" applyFill="1" applyBorder="1" applyAlignment="1">
      <alignment horizontal="left" vertical="center" indent="1"/>
    </xf>
    <xf numFmtId="176" fontId="54" fillId="11" borderId="20" xfId="0" applyNumberFormat="1" applyFont="1" applyFill="1" applyBorder="1" applyAlignment="1">
      <alignment horizontal="right" vertical="center"/>
    </xf>
    <xf numFmtId="176" fontId="50" fillId="11" borderId="20" xfId="0" applyNumberFormat="1" applyFont="1" applyFill="1" applyBorder="1" applyAlignment="1">
      <alignment horizontal="right" vertical="center"/>
    </xf>
    <xf numFmtId="176" fontId="50" fillId="11" borderId="21" xfId="0" applyNumberFormat="1" applyFont="1" applyFill="1" applyBorder="1" applyAlignment="1">
      <alignment horizontal="right" vertical="center"/>
    </xf>
    <xf numFmtId="0" fontId="46" fillId="6" borderId="14" xfId="4" applyFont="1" applyFill="1" applyBorder="1">
      <alignment horizontal="left" vertical="center" indent="1"/>
    </xf>
    <xf numFmtId="0" fontId="49" fillId="4" borderId="17" xfId="0" applyFont="1" applyFill="1" applyBorder="1" applyAlignment="1">
      <alignment horizontal="left" vertical="center" indent="1"/>
    </xf>
    <xf numFmtId="0" fontId="51" fillId="11" borderId="19" xfId="0" applyFont="1" applyFill="1" applyBorder="1" applyAlignment="1">
      <alignment horizontal="left" vertical="center" indent="2"/>
    </xf>
    <xf numFmtId="0" fontId="55" fillId="9" borderId="3" xfId="3" applyFont="1" applyFill="1" applyBorder="1" applyAlignment="1">
      <alignment horizontal="left" vertical="center" indent="1"/>
    </xf>
    <xf numFmtId="0" fontId="56" fillId="9" borderId="0" xfId="3" applyFont="1" applyFill="1">
      <alignment vertical="center"/>
    </xf>
    <xf numFmtId="0" fontId="56" fillId="9" borderId="32" xfId="3" applyFont="1" applyFill="1" applyBorder="1">
      <alignment vertical="center"/>
    </xf>
    <xf numFmtId="0" fontId="49" fillId="4" borderId="4" xfId="0" applyFont="1" applyFill="1" applyBorder="1" applyAlignment="1">
      <alignment horizontal="left" vertical="center" indent="1"/>
    </xf>
    <xf numFmtId="176" fontId="57" fillId="11" borderId="31" xfId="0" applyNumberFormat="1" applyFont="1" applyFill="1" applyBorder="1" applyAlignment="1">
      <alignment horizontal="right"/>
    </xf>
    <xf numFmtId="176" fontId="57" fillId="11" borderId="2" xfId="0" applyNumberFormat="1" applyFont="1" applyFill="1" applyBorder="1" applyAlignment="1">
      <alignment horizontal="right"/>
    </xf>
    <xf numFmtId="0" fontId="50" fillId="10" borderId="0" xfId="0" applyFont="1"/>
    <xf numFmtId="176" fontId="57" fillId="11" borderId="6" xfId="0" applyNumberFormat="1" applyFont="1" applyFill="1" applyBorder="1" applyAlignment="1">
      <alignment horizontal="right"/>
    </xf>
    <xf numFmtId="176" fontId="57" fillId="11" borderId="8" xfId="0" applyNumberFormat="1" applyFont="1" applyFill="1" applyBorder="1" applyAlignment="1">
      <alignment horizontal="right"/>
    </xf>
    <xf numFmtId="176" fontId="57" fillId="11" borderId="5" xfId="0" applyNumberFormat="1" applyFont="1" applyFill="1" applyBorder="1" applyAlignment="1">
      <alignment horizontal="right"/>
    </xf>
    <xf numFmtId="0" fontId="48" fillId="10" borderId="4" xfId="0" applyFont="1" applyBorder="1"/>
    <xf numFmtId="0" fontId="47" fillId="12" borderId="14" xfId="4" applyFont="1" applyFill="1" applyBorder="1" applyAlignment="1">
      <alignment horizontal="center" vertical="center"/>
    </xf>
    <xf numFmtId="0" fontId="47" fillId="12" borderId="15" xfId="4" applyFont="1" applyFill="1" applyBorder="1" applyAlignment="1">
      <alignment horizontal="center" vertical="center"/>
    </xf>
    <xf numFmtId="0" fontId="47" fillId="12" borderId="15" xfId="4" applyNumberFormat="1" applyFont="1" applyFill="1" applyBorder="1" applyAlignment="1">
      <alignment horizontal="center" vertical="center"/>
    </xf>
    <xf numFmtId="0" fontId="47" fillId="12" borderId="16" xfId="4" applyFont="1" applyFill="1" applyBorder="1" applyAlignment="1">
      <alignment horizontal="center" vertical="center"/>
    </xf>
    <xf numFmtId="176" fontId="58" fillId="13" borderId="17" xfId="0" applyNumberFormat="1" applyFont="1" applyFill="1" applyBorder="1" applyAlignment="1">
      <alignment horizontal="right" vertical="center"/>
    </xf>
    <xf numFmtId="176" fontId="58" fillId="13" borderId="13" xfId="0" applyNumberFormat="1" applyFont="1" applyFill="1" applyBorder="1" applyAlignment="1">
      <alignment horizontal="right" vertical="center"/>
    </xf>
    <xf numFmtId="176" fontId="58" fillId="11" borderId="18" xfId="0" applyNumberFormat="1" applyFont="1" applyFill="1" applyBorder="1" applyAlignment="1">
      <alignment horizontal="right" vertical="center"/>
    </xf>
    <xf numFmtId="0" fontId="52" fillId="11" borderId="12" xfId="0" applyFont="1" applyFill="1" applyBorder="1" applyAlignment="1">
      <alignment horizontal="left" vertical="center" indent="1"/>
    </xf>
    <xf numFmtId="176" fontId="58" fillId="11" borderId="19" xfId="0" applyNumberFormat="1" applyFont="1" applyFill="1" applyBorder="1" applyAlignment="1">
      <alignment horizontal="right" vertical="center"/>
    </xf>
    <xf numFmtId="176" fontId="58" fillId="11" borderId="20" xfId="0" applyNumberFormat="1" applyFont="1" applyFill="1" applyBorder="1" applyAlignment="1">
      <alignment horizontal="right" vertical="center"/>
    </xf>
    <xf numFmtId="176" fontId="58" fillId="11" borderId="21" xfId="0" applyNumberFormat="1" applyFont="1" applyFill="1" applyBorder="1" applyAlignment="1">
      <alignment horizontal="right" vertical="center"/>
    </xf>
    <xf numFmtId="0" fontId="46" fillId="5" borderId="25" xfId="4" applyFont="1" applyFill="1" applyBorder="1">
      <alignment horizontal="left" vertical="center" indent="1"/>
    </xf>
    <xf numFmtId="0" fontId="47" fillId="12" borderId="22" xfId="4" applyFont="1" applyFill="1" applyBorder="1">
      <alignment horizontal="left" vertical="center" indent="1"/>
    </xf>
    <xf numFmtId="0" fontId="47" fillId="12" borderId="23" xfId="4" applyFont="1" applyFill="1" applyBorder="1">
      <alignment horizontal="left" vertical="center" indent="1"/>
    </xf>
    <xf numFmtId="0" fontId="47" fillId="12" borderId="23" xfId="4" applyNumberFormat="1" applyFont="1" applyFill="1" applyBorder="1">
      <alignment horizontal="left" vertical="center" indent="1"/>
    </xf>
    <xf numFmtId="0" fontId="47" fillId="12" borderId="24" xfId="4" applyFont="1" applyFill="1" applyBorder="1">
      <alignment horizontal="left" vertical="center" indent="1"/>
    </xf>
    <xf numFmtId="0" fontId="49" fillId="4" borderId="26" xfId="0" applyFont="1" applyFill="1" applyBorder="1" applyAlignment="1">
      <alignment horizontal="left" vertical="center" indent="1"/>
    </xf>
    <xf numFmtId="0" fontId="52" fillId="11" borderId="30" xfId="0" applyFont="1" applyFill="1" applyBorder="1" applyAlignment="1">
      <alignment horizontal="left" vertical="center" indent="2"/>
    </xf>
    <xf numFmtId="176" fontId="58" fillId="11" borderId="27" xfId="0" applyNumberFormat="1" applyFont="1" applyFill="1" applyBorder="1" applyAlignment="1">
      <alignment horizontal="right" vertical="center"/>
    </xf>
    <xf numFmtId="176" fontId="58" fillId="11" borderId="28" xfId="0" applyNumberFormat="1" applyFont="1" applyFill="1" applyBorder="1" applyAlignment="1">
      <alignment horizontal="right" vertical="center"/>
    </xf>
    <xf numFmtId="176" fontId="58" fillId="11" borderId="29" xfId="0" applyNumberFormat="1" applyFont="1" applyFill="1" applyBorder="1" applyAlignment="1">
      <alignment horizontal="right" vertical="center"/>
    </xf>
    <xf numFmtId="0" fontId="46" fillId="7" borderId="14" xfId="4" applyFont="1" applyFill="1" applyBorder="1">
      <alignment horizontal="left" vertical="center" indent="1"/>
    </xf>
    <xf numFmtId="0" fontId="52" fillId="11" borderId="12" xfId="0" applyFont="1" applyFill="1" applyBorder="1" applyAlignment="1">
      <alignment horizontal="left" vertical="center" indent="2"/>
    </xf>
    <xf numFmtId="176" fontId="58" fillId="11" borderId="35" xfId="0" applyNumberFormat="1" applyFont="1" applyFill="1" applyBorder="1" applyAlignment="1">
      <alignment horizontal="right" vertical="center"/>
    </xf>
    <xf numFmtId="176" fontId="50" fillId="11" borderId="19" xfId="0" applyNumberFormat="1" applyFont="1" applyFill="1" applyBorder="1" applyAlignment="1">
      <alignment horizontal="right" vertical="center"/>
    </xf>
    <xf numFmtId="0" fontId="46" fillId="9" borderId="3" xfId="3" applyFont="1" applyFill="1" applyBorder="1" applyAlignment="1">
      <alignment horizontal="left" vertical="center" indent="1"/>
    </xf>
    <xf numFmtId="0" fontId="60" fillId="9" borderId="3" xfId="3" applyFont="1" applyFill="1" applyBorder="1">
      <alignment vertical="center"/>
    </xf>
    <xf numFmtId="0" fontId="49" fillId="4" borderId="7" xfId="0" applyFont="1" applyFill="1" applyBorder="1" applyAlignment="1">
      <alignment horizontal="left" vertical="center" indent="1"/>
    </xf>
    <xf numFmtId="176" fontId="57" fillId="11" borderId="5" xfId="0" applyNumberFormat="1" applyFont="1" applyFill="1" applyBorder="1" applyAlignment="1">
      <alignment horizontal="right" vertical="center"/>
    </xf>
    <xf numFmtId="176" fontId="57" fillId="11" borderId="2" xfId="0" applyNumberFormat="1" applyFont="1" applyFill="1" applyBorder="1" applyAlignment="1">
      <alignment horizontal="right" vertical="center"/>
    </xf>
    <xf numFmtId="0" fontId="47" fillId="10" borderId="0" xfId="0" applyFont="1" applyAlignment="1">
      <alignment wrapText="1"/>
    </xf>
    <xf numFmtId="0" fontId="47" fillId="10" borderId="0" xfId="0" applyFont="1"/>
    <xf numFmtId="0" fontId="39" fillId="4" borderId="0" xfId="2" applyFont="1" applyAlignment="1">
      <alignment horizontal="left" indent="1"/>
    </xf>
    <xf numFmtId="0" fontId="59" fillId="4" borderId="0" xfId="5" applyFont="1" applyFill="1" applyAlignment="1">
      <alignment horizontal="left" vertical="top" indent="1"/>
    </xf>
    <xf numFmtId="0" fontId="42" fillId="4" borderId="0" xfId="5" applyFont="1" applyFill="1" applyAlignment="1">
      <alignment horizontal="left" vertical="top" indent="1"/>
    </xf>
    <xf numFmtId="0" fontId="2" fillId="4" borderId="0" xfId="2" applyAlignment="1">
      <alignment horizontal="left" indent="1"/>
    </xf>
    <xf numFmtId="0" fontId="25" fillId="4" borderId="0" xfId="5" applyFont="1" applyFill="1" applyAlignment="1">
      <alignment horizontal="left" vertical="top" indent="1"/>
    </xf>
    <xf numFmtId="0" fontId="2" fillId="4" borderId="0" xfId="2" applyAlignment="1">
      <alignment horizontal="right" vertical="center" indent="3"/>
    </xf>
    <xf numFmtId="0" fontId="33" fillId="11" borderId="0" xfId="0" applyFont="1" applyFill="1" applyAlignment="1">
      <alignment horizontal="center"/>
    </xf>
  </cellXfs>
  <cellStyles count="7">
    <cellStyle name="설명 텍스트" xfId="5" builtinId="53" customBuiltin="1"/>
    <cellStyle name="요약" xfId="6" builtinId="25" customBuiltin="1"/>
    <cellStyle name="제목 1" xfId="1" builtinId="16" customBuiltin="1"/>
    <cellStyle name="제목 2" xfId="2" builtinId="17" customBuiltin="1"/>
    <cellStyle name="제목 3" xfId="3" builtinId="18" customBuiltin="1"/>
    <cellStyle name="제목 4" xfId="4" builtinId="19" customBuiltin="1"/>
    <cellStyle name="표준" xfId="0" builtinId="0" customBuiltin="1"/>
  </cellStyles>
  <dxfs count="530"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 tint="0.24994659260841701"/>
        <name val="Malgun Gothic"/>
        <family val="3"/>
        <charset val="129"/>
        <scheme val="minor"/>
      </font>
      <numFmt numFmtId="13" formatCode="0%"/>
      <fill>
        <patternFill patternType="solid">
          <fgColor indexed="64"/>
          <bgColor theme="6" tint="0.79998168889431442"/>
        </patternFill>
      </fill>
      <alignment horizontal="right" vertical="center" textRotation="0" wrapText="0" indent="2" justifyLastLine="0" shrinkToFit="0" readingOrder="0"/>
      <border diagonalUp="0" diagonalDown="0" outline="0">
        <left style="medium">
          <color theme="6" tint="0.39997558519241921"/>
        </left>
        <right style="medium">
          <color theme="6" tint="0.399975585192419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 tint="0.24994659260841701"/>
        <name val="Malgun Gothic"/>
        <family val="3"/>
        <charset val="129"/>
        <scheme val="minor"/>
      </font>
      <numFmt numFmtId="13" formatCode="0%"/>
      <fill>
        <patternFill patternType="solid">
          <fgColor indexed="64"/>
          <bgColor theme="6" tint="0.79998168889431442"/>
        </patternFill>
      </fill>
      <alignment horizontal="right" vertical="center" textRotation="0" wrapText="0" indent="2" justifyLastLine="0" shrinkToFit="0" readingOrder="0"/>
      <border diagonalUp="0" diagonalDown="0">
        <left style="medium">
          <color theme="6" tint="0.39997558519241921"/>
        </left>
        <right style="medium">
          <color theme="6" tint="0.39997558519241921"/>
        </right>
        <top style="medium">
          <color theme="6" tint="0.39997558519241921"/>
        </top>
        <bottom style="medium">
          <color theme="6" tint="0.3999755851924192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 tint="0.24994659260841701"/>
        <name val="Malgun Gothic"/>
        <family val="3"/>
        <charset val="129"/>
        <scheme val="minor"/>
      </font>
      <fill>
        <patternFill patternType="solid">
          <fgColor indexed="64"/>
          <bgColor theme="6" tint="0.79998168889431442"/>
        </patternFill>
      </fill>
      <alignment horizontal="right" vertical="center" textRotation="0" wrapText="0" indent="2" justifyLastLine="0" shrinkToFit="0" readingOrder="0"/>
      <border diagonalUp="0" diagonalDown="0" outline="0">
        <left style="medium">
          <color theme="6" tint="0.39997558519241921"/>
        </left>
        <right style="medium">
          <color theme="6" tint="0.399975585192419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 tint="0.24994659260841701"/>
        <name val="Malgun Gothic"/>
        <family val="3"/>
        <charset val="129"/>
        <scheme val="minor"/>
      </font>
      <numFmt numFmtId="176" formatCode="&quot;₩&quot;#,##0.00_);[Red]\(&quot;₩&quot;#,##0.00\)"/>
      <fill>
        <patternFill patternType="solid">
          <fgColor indexed="64"/>
          <bgColor theme="6" tint="0.79998168889431442"/>
        </patternFill>
      </fill>
      <alignment horizontal="right" vertical="center" textRotation="0" wrapText="0" indent="2" justifyLastLine="0" shrinkToFit="0" readingOrder="0"/>
      <border diagonalUp="0" diagonalDown="0">
        <left style="medium">
          <color theme="6" tint="0.39997558519241921"/>
        </left>
        <right style="medium">
          <color theme="6" tint="0.39997558519241921"/>
        </right>
        <top style="medium">
          <color theme="6" tint="0.39997558519241921"/>
        </top>
        <bottom style="medium">
          <color theme="6" tint="0.3999755851924192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 tint="0.24994659260841701"/>
        <name val="Malgun Gothic"/>
        <family val="3"/>
        <charset val="129"/>
        <scheme val="minor"/>
      </font>
      <fill>
        <patternFill patternType="solid">
          <fgColor indexed="64"/>
          <bgColor theme="6" tint="0.79998168889431442"/>
        </patternFill>
      </fill>
      <alignment horizontal="right" vertical="center" textRotation="0" wrapText="0" indent="2" justifyLastLine="0" shrinkToFit="0" readingOrder="0"/>
      <border diagonalUp="0" diagonalDown="0" outline="0">
        <left style="medium">
          <color theme="6" tint="0.39997558519241921"/>
        </left>
        <right style="medium">
          <color theme="6" tint="0.399975585192419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 tint="0.24994659260841701"/>
        <name val="Malgun Gothic"/>
        <family val="3"/>
        <charset val="129"/>
        <scheme val="minor"/>
      </font>
      <numFmt numFmtId="176" formatCode="&quot;₩&quot;#,##0.00_);[Red]\(&quot;₩&quot;#,##0.00\)"/>
      <fill>
        <patternFill patternType="solid">
          <fgColor indexed="64"/>
          <bgColor theme="6" tint="0.79998168889431442"/>
        </patternFill>
      </fill>
      <alignment horizontal="right" vertical="center" textRotation="0" wrapText="0" indent="2" justifyLastLine="0" shrinkToFit="0" readingOrder="0"/>
      <border diagonalUp="0" diagonalDown="0">
        <left style="medium">
          <color theme="6" tint="0.39997558519241921"/>
        </left>
        <right style="medium">
          <color theme="6" tint="0.39997558519241921"/>
        </right>
        <top style="medium">
          <color theme="6" tint="0.39997558519241921"/>
        </top>
        <bottom style="medium">
          <color theme="6" tint="0.3999755851924192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 tint="0.24994659260841701"/>
        <name val="Malgun Gothic"/>
        <family val="3"/>
        <charset val="129"/>
        <scheme val="minor"/>
      </font>
      <fill>
        <patternFill patternType="solid">
          <fgColor indexed="64"/>
          <bgColor theme="6" tint="0.79998168889431442"/>
        </patternFill>
      </fill>
      <alignment horizontal="right" vertical="center" textRotation="0" wrapText="0" indent="2" justifyLastLine="0" shrinkToFit="0" readingOrder="0"/>
      <border diagonalUp="0" diagonalDown="0" outline="0">
        <left style="medium">
          <color theme="6" tint="0.39997558519241921"/>
        </left>
        <right style="medium">
          <color theme="6" tint="0.399975585192419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 tint="0.24994659260841701"/>
        <name val="Malgun Gothic"/>
        <family val="3"/>
        <charset val="129"/>
        <scheme val="minor"/>
      </font>
      <numFmt numFmtId="176" formatCode="&quot;₩&quot;#,##0.00_);[Red]\(&quot;₩&quot;#,##0.00\)"/>
      <fill>
        <patternFill patternType="solid">
          <fgColor indexed="64"/>
          <bgColor theme="6" tint="0.79998168889431442"/>
        </patternFill>
      </fill>
      <alignment horizontal="right" vertical="center" textRotation="0" wrapText="0" indent="2" justifyLastLine="0" shrinkToFit="0" readingOrder="0"/>
      <border diagonalUp="0" diagonalDown="0">
        <left style="medium">
          <color theme="6" tint="0.39997558519241921"/>
        </left>
        <right style="medium">
          <color theme="6" tint="0.39997558519241921"/>
        </right>
        <top style="medium">
          <color theme="6" tint="0.39997558519241921"/>
        </top>
        <bottom style="medium">
          <color theme="6" tint="0.3999755851924192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 tint="0.24994659260841701"/>
        <name val="Malgun Gothic"/>
        <family val="3"/>
        <charset val="129"/>
        <scheme val="minor"/>
      </font>
      <fill>
        <patternFill patternType="solid">
          <fgColor indexed="64"/>
          <bgColor theme="6" tint="0.79998168889431442"/>
        </patternFill>
      </fill>
      <alignment horizontal="left" vertical="center" textRotation="0" wrapText="0" indent="2" justifyLastLine="0" shrinkToFit="0" readingOrder="0"/>
      <border diagonalUp="0" diagonalDown="0" outline="0">
        <left style="medium">
          <color theme="6" tint="0.39997558519241921"/>
        </left>
        <right style="medium">
          <color theme="6" tint="0.399975585192419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 tint="0.24994659260841701"/>
        <name val="Malgun Gothic"/>
        <family val="3"/>
        <charset val="129"/>
        <scheme val="minor"/>
      </font>
      <numFmt numFmtId="0" formatCode="General"/>
      <fill>
        <patternFill patternType="solid">
          <fgColor indexed="64"/>
          <bgColor theme="6" tint="0.79998168889431442"/>
        </patternFill>
      </fill>
      <alignment horizontal="left" vertical="center" textRotation="0" wrapText="0" indent="2" justifyLastLine="0" shrinkToFit="0" readingOrder="0"/>
      <border diagonalUp="0" diagonalDown="0">
        <left style="medium">
          <color theme="6" tint="0.39997558519241921"/>
        </left>
        <right style="medium">
          <color theme="6" tint="0.39997558519241921"/>
        </right>
        <top style="medium">
          <color theme="6" tint="0.39997558519241921"/>
        </top>
        <bottom style="medium">
          <color theme="6" tint="0.39997558519241921"/>
        </bottom>
        <vertical/>
        <horizontal/>
      </border>
    </dxf>
    <dxf>
      <border outline="0">
        <bottom style="medium">
          <color theme="6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 tint="0.24994659260841701"/>
        <name val="Malgun Gothic"/>
        <family val="3"/>
        <charset val="129"/>
        <scheme val="minor"/>
      </font>
      <fill>
        <patternFill patternType="solid">
          <fgColor indexed="64"/>
          <bgColor theme="6" tint="0.79998168889431442"/>
        </patternFill>
      </fill>
      <alignment horizontal="right" vertical="center" textRotation="0" wrapText="0" indent="2" justifyLastLine="0" shrinkToFit="0" readingOrder="0"/>
    </dxf>
    <dxf>
      <font>
        <strike val="0"/>
        <outline val="0"/>
        <shadow val="0"/>
        <u val="none"/>
        <vertAlign val="baseline"/>
        <name val="Malgun Gothic"/>
        <family val="3"/>
        <charset val="129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Malgun Gothic"/>
        <family val="3"/>
        <charset val="129"/>
        <scheme val="minor"/>
      </font>
      <numFmt numFmtId="176" formatCode="&quot;₩&quot;#,##0.00_);[Red]\(&quot;₩&quot;#,##0.00\)"/>
      <fill>
        <patternFill patternType="solid">
          <fgColor indexed="64"/>
          <bgColor theme="6" tint="0.79998168889431442"/>
        </patternFill>
      </fill>
      <alignment horizontal="right" vertical="bottom" textRotation="0" wrapText="0" indent="0" justifyLastLine="0" shrinkToFit="0" readingOrder="0"/>
      <border diagonalUp="0" diagonalDown="0" outline="0">
        <left style="medium">
          <color theme="6" tint="0.39997558519241921"/>
        </left>
        <right style="medium">
          <color theme="6" tint="0.3999755851924192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Malgun Gothic"/>
        <family val="3"/>
        <charset val="129"/>
        <scheme val="minor"/>
      </font>
      <numFmt numFmtId="176" formatCode="&quot;₩&quot;#,##0.00_);[Red]\(&quot;₩&quot;#,##0.00\)"/>
      <fill>
        <patternFill patternType="solid">
          <fgColor indexed="64"/>
          <bgColor theme="6" tint="0.79998168889431442"/>
        </patternFill>
      </fill>
      <alignment horizontal="right" vertical="bottom" textRotation="0" wrapText="0" indent="0" justifyLastLine="0" shrinkToFit="0" readingOrder="0"/>
      <border diagonalUp="0" diagonalDown="0">
        <left style="medium">
          <color theme="6" tint="0.39997558519241921"/>
        </left>
        <right style="medium">
          <color theme="6" tint="0.39997558519241921"/>
        </right>
        <top style="medium">
          <color theme="6" tint="0.39997558519241921"/>
        </top>
        <bottom style="medium">
          <color theme="6" tint="0.39997558519241921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Malgun Gothic"/>
        <family val="3"/>
        <charset val="129"/>
        <scheme val="minor"/>
      </font>
      <fill>
        <patternFill patternType="solid">
          <fgColor indexed="64"/>
          <bgColor theme="6" tint="0.79998168889431442"/>
        </patternFill>
      </fill>
      <alignment horizontal="right" vertical="bottom" textRotation="0" wrapText="0" indent="0" justifyLastLine="0" shrinkToFit="0" readingOrder="0"/>
      <border diagonalUp="0" diagonalDown="0" outline="0">
        <left style="medium">
          <color theme="6" tint="0.39997558519241921"/>
        </left>
        <right style="medium">
          <color theme="6" tint="0.3999755851924192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Malgun Gothic"/>
        <family val="3"/>
        <charset val="129"/>
        <scheme val="minor"/>
      </font>
      <numFmt numFmtId="176" formatCode="&quot;₩&quot;#,##0.00_);[Red]\(&quot;₩&quot;#,##0.00\)"/>
      <fill>
        <patternFill patternType="solid">
          <fgColor indexed="64"/>
          <bgColor theme="6" tint="0.79998168889431442"/>
        </patternFill>
      </fill>
      <alignment horizontal="right" vertical="bottom" textRotation="0" wrapText="0" indent="0" justifyLastLine="0" shrinkToFit="0" readingOrder="0"/>
      <border diagonalUp="0" diagonalDown="0">
        <left style="medium">
          <color theme="6" tint="0.39997558519241921"/>
        </left>
        <right style="medium">
          <color theme="6" tint="0.39997558519241921"/>
        </right>
        <top style="medium">
          <color theme="6" tint="0.39997558519241921"/>
        </top>
        <bottom style="medium">
          <color theme="6" tint="0.39997558519241921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Malgun Gothic"/>
        <family val="3"/>
        <charset val="129"/>
        <scheme val="minor"/>
      </font>
      <fill>
        <patternFill patternType="solid">
          <fgColor indexed="64"/>
          <bgColor theme="6" tint="0.79998168889431442"/>
        </patternFill>
      </fill>
      <alignment horizontal="right" vertical="bottom" textRotation="0" wrapText="0" indent="0" justifyLastLine="0" shrinkToFit="0" readingOrder="0"/>
      <border diagonalUp="0" diagonalDown="0" outline="0">
        <left style="medium">
          <color theme="6" tint="0.39997558519241921"/>
        </left>
        <right style="medium">
          <color theme="6" tint="0.3999755851924192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Malgun Gothic"/>
        <family val="3"/>
        <charset val="129"/>
        <scheme val="minor"/>
      </font>
      <numFmt numFmtId="176" formatCode="&quot;₩&quot;#,##0.00_);[Red]\(&quot;₩&quot;#,##0.00\)"/>
      <fill>
        <patternFill patternType="solid">
          <fgColor indexed="64"/>
          <bgColor theme="6" tint="0.79998168889431442"/>
        </patternFill>
      </fill>
      <alignment horizontal="right" vertical="bottom" textRotation="0" wrapText="0" indent="0" justifyLastLine="0" shrinkToFit="0" readingOrder="0"/>
      <border diagonalUp="0" diagonalDown="0">
        <left style="medium">
          <color theme="6" tint="0.39997558519241921"/>
        </left>
        <right style="medium">
          <color theme="6" tint="0.39997558519241921"/>
        </right>
        <top style="medium">
          <color theme="6" tint="0.39997558519241921"/>
        </top>
        <bottom style="medium">
          <color theme="6" tint="0.39997558519241921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Malgun Gothic"/>
        <family val="3"/>
        <charset val="129"/>
        <scheme val="minor"/>
      </font>
      <fill>
        <patternFill patternType="solid">
          <fgColor indexed="64"/>
          <bgColor theme="6" tint="0.79998168889431442"/>
        </patternFill>
      </fill>
      <alignment horizontal="right" vertical="bottom" textRotation="0" wrapText="0" indent="0" justifyLastLine="0" shrinkToFit="0" readingOrder="0"/>
      <border diagonalUp="0" diagonalDown="0" outline="0">
        <left style="medium">
          <color theme="6" tint="0.39997558519241921"/>
        </left>
        <right style="medium">
          <color theme="6" tint="0.3999755851924192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Malgun Gothic"/>
        <family val="3"/>
        <charset val="129"/>
        <scheme val="minor"/>
      </font>
      <numFmt numFmtId="176" formatCode="&quot;₩&quot;#,##0.00_);[Red]\(&quot;₩&quot;#,##0.00\)"/>
      <fill>
        <patternFill patternType="solid">
          <fgColor indexed="64"/>
          <bgColor theme="6" tint="0.79998168889431442"/>
        </patternFill>
      </fill>
      <alignment horizontal="right" vertical="bottom" textRotation="0" wrapText="0" indent="0" justifyLastLine="0" shrinkToFit="0" readingOrder="0"/>
      <border diagonalUp="0" diagonalDown="0">
        <left style="medium">
          <color theme="6" tint="0.39997558519241921"/>
        </left>
        <right style="medium">
          <color theme="6" tint="0.39997558519241921"/>
        </right>
        <top style="medium">
          <color theme="6" tint="0.39997558519241921"/>
        </top>
        <bottom style="medium">
          <color theme="6" tint="0.39997558519241921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Malgun Gothic"/>
        <family val="3"/>
        <charset val="129"/>
        <scheme val="minor"/>
      </font>
      <fill>
        <patternFill patternType="solid">
          <fgColor indexed="64"/>
          <bgColor theme="6" tint="0.79998168889431442"/>
        </patternFill>
      </fill>
      <alignment horizontal="right" vertical="bottom" textRotation="0" wrapText="0" indent="0" justifyLastLine="0" shrinkToFit="0" readingOrder="0"/>
      <border diagonalUp="0" diagonalDown="0" outline="0">
        <left style="medium">
          <color theme="6" tint="0.39997558519241921"/>
        </left>
        <right style="medium">
          <color theme="6" tint="0.3999755851924192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Malgun Gothic"/>
        <family val="3"/>
        <charset val="129"/>
        <scheme val="minor"/>
      </font>
      <numFmt numFmtId="176" formatCode="&quot;₩&quot;#,##0.00_);[Red]\(&quot;₩&quot;#,##0.00\)"/>
      <fill>
        <patternFill patternType="solid">
          <fgColor indexed="64"/>
          <bgColor theme="6" tint="0.79998168889431442"/>
        </patternFill>
      </fill>
      <alignment horizontal="right" vertical="bottom" textRotation="0" wrapText="0" indent="0" justifyLastLine="0" shrinkToFit="0" readingOrder="0"/>
      <border diagonalUp="0" diagonalDown="0">
        <left style="medium">
          <color theme="6" tint="0.39997558519241921"/>
        </left>
        <right style="medium">
          <color theme="6" tint="0.39997558519241921"/>
        </right>
        <top style="medium">
          <color theme="6" tint="0.39997558519241921"/>
        </top>
        <bottom style="medium">
          <color theme="6" tint="0.39997558519241921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Malgun Gothic"/>
        <family val="3"/>
        <charset val="129"/>
        <scheme val="minor"/>
      </font>
      <fill>
        <patternFill patternType="solid">
          <fgColor indexed="64"/>
          <bgColor theme="6" tint="0.79998168889431442"/>
        </patternFill>
      </fill>
      <alignment horizontal="right" vertical="bottom" textRotation="0" wrapText="0" indent="0" justifyLastLine="0" shrinkToFit="0" readingOrder="0"/>
      <border diagonalUp="0" diagonalDown="0" outline="0">
        <left style="medium">
          <color theme="6" tint="0.39997558519241921"/>
        </left>
        <right style="medium">
          <color theme="6" tint="0.3999755851924192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Malgun Gothic"/>
        <family val="3"/>
        <charset val="129"/>
        <scheme val="minor"/>
      </font>
      <numFmt numFmtId="176" formatCode="&quot;₩&quot;#,##0.00_);[Red]\(&quot;₩&quot;#,##0.00\)"/>
      <fill>
        <patternFill patternType="solid">
          <fgColor indexed="64"/>
          <bgColor theme="6" tint="0.79998168889431442"/>
        </patternFill>
      </fill>
      <alignment horizontal="right" vertical="bottom" textRotation="0" wrapText="0" indent="0" justifyLastLine="0" shrinkToFit="0" readingOrder="0"/>
      <border diagonalUp="0" diagonalDown="0">
        <left style="medium">
          <color theme="6" tint="0.39997558519241921"/>
        </left>
        <right style="medium">
          <color theme="6" tint="0.39997558519241921"/>
        </right>
        <top style="medium">
          <color theme="6" tint="0.39997558519241921"/>
        </top>
        <bottom style="medium">
          <color theme="6" tint="0.39997558519241921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Malgun Gothic"/>
        <family val="3"/>
        <charset val="129"/>
        <scheme val="minor"/>
      </font>
      <fill>
        <patternFill patternType="solid">
          <fgColor indexed="64"/>
          <bgColor theme="6" tint="0.79998168889431442"/>
        </patternFill>
      </fill>
      <alignment horizontal="right" vertical="bottom" textRotation="0" wrapText="0" indent="0" justifyLastLine="0" shrinkToFit="0" readingOrder="0"/>
      <border diagonalUp="0" diagonalDown="0" outline="0">
        <left style="medium">
          <color theme="6" tint="0.39997558519241921"/>
        </left>
        <right style="medium">
          <color theme="6" tint="0.3999755851924192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Malgun Gothic"/>
        <family val="3"/>
        <charset val="129"/>
        <scheme val="minor"/>
      </font>
      <numFmt numFmtId="176" formatCode="&quot;₩&quot;#,##0.00_);[Red]\(&quot;₩&quot;#,##0.00\)"/>
      <fill>
        <patternFill patternType="solid">
          <fgColor indexed="64"/>
          <bgColor theme="6" tint="0.79998168889431442"/>
        </patternFill>
      </fill>
      <alignment horizontal="right" vertical="bottom" textRotation="0" wrapText="0" indent="0" justifyLastLine="0" shrinkToFit="0" readingOrder="0"/>
      <border diagonalUp="0" diagonalDown="0">
        <left style="medium">
          <color theme="6" tint="0.39997558519241921"/>
        </left>
        <right style="medium">
          <color theme="6" tint="0.39997558519241921"/>
        </right>
        <top style="medium">
          <color theme="6" tint="0.39997558519241921"/>
        </top>
        <bottom style="medium">
          <color theme="6" tint="0.39997558519241921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Malgun Gothic"/>
        <family val="3"/>
        <charset val="129"/>
        <scheme val="minor"/>
      </font>
      <fill>
        <patternFill patternType="solid">
          <fgColor indexed="64"/>
          <bgColor theme="6" tint="0.79998168889431442"/>
        </patternFill>
      </fill>
      <alignment horizontal="right" vertical="bottom" textRotation="0" wrapText="0" indent="0" justifyLastLine="0" shrinkToFit="0" readingOrder="0"/>
      <border diagonalUp="0" diagonalDown="0" outline="0">
        <left style="medium">
          <color theme="6" tint="0.39997558519241921"/>
        </left>
        <right style="medium">
          <color theme="6" tint="0.3999755851924192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Malgun Gothic"/>
        <family val="3"/>
        <charset val="129"/>
        <scheme val="minor"/>
      </font>
      <numFmt numFmtId="176" formatCode="&quot;₩&quot;#,##0.00_);[Red]\(&quot;₩&quot;#,##0.00\)"/>
      <fill>
        <patternFill patternType="solid">
          <fgColor indexed="64"/>
          <bgColor theme="6" tint="0.79998168889431442"/>
        </patternFill>
      </fill>
      <alignment horizontal="right" vertical="bottom" textRotation="0" wrapText="0" indent="0" justifyLastLine="0" shrinkToFit="0" readingOrder="0"/>
      <border diagonalUp="0" diagonalDown="0">
        <left style="medium">
          <color theme="6" tint="0.39997558519241921"/>
        </left>
        <right style="medium">
          <color theme="6" tint="0.39997558519241921"/>
        </right>
        <top style="medium">
          <color theme="6" tint="0.39997558519241921"/>
        </top>
        <bottom style="medium">
          <color theme="6" tint="0.39997558519241921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Malgun Gothic"/>
        <family val="3"/>
        <charset val="129"/>
        <scheme val="minor"/>
      </font>
      <fill>
        <patternFill patternType="solid">
          <fgColor indexed="64"/>
          <bgColor theme="6" tint="0.79998168889431442"/>
        </patternFill>
      </fill>
      <alignment horizontal="right" vertical="bottom" textRotation="0" wrapText="0" indent="0" justifyLastLine="0" shrinkToFit="0" readingOrder="0"/>
      <border diagonalUp="0" diagonalDown="0" outline="0">
        <left style="medium">
          <color theme="6" tint="0.39997558519241921"/>
        </left>
        <right style="medium">
          <color theme="6" tint="0.3999755851924192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Malgun Gothic"/>
        <family val="3"/>
        <charset val="129"/>
        <scheme val="minor"/>
      </font>
      <numFmt numFmtId="176" formatCode="&quot;₩&quot;#,##0.00_);[Red]\(&quot;₩&quot;#,##0.00\)"/>
      <fill>
        <patternFill patternType="solid">
          <fgColor indexed="64"/>
          <bgColor theme="6" tint="0.79998168889431442"/>
        </patternFill>
      </fill>
      <alignment horizontal="right" vertical="bottom" textRotation="0" wrapText="0" indent="0" justifyLastLine="0" shrinkToFit="0" readingOrder="0"/>
      <border diagonalUp="0" diagonalDown="0">
        <left style="medium">
          <color theme="6" tint="0.39997558519241921"/>
        </left>
        <right style="medium">
          <color theme="6" tint="0.39997558519241921"/>
        </right>
        <top style="medium">
          <color theme="6" tint="0.39997558519241921"/>
        </top>
        <bottom style="medium">
          <color theme="6" tint="0.39997558519241921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Malgun Gothic"/>
        <family val="3"/>
        <charset val="129"/>
        <scheme val="minor"/>
      </font>
      <fill>
        <patternFill patternType="solid">
          <fgColor indexed="64"/>
          <bgColor theme="6" tint="0.79998168889431442"/>
        </patternFill>
      </fill>
      <alignment horizontal="right" vertical="bottom" textRotation="0" wrapText="0" indent="0" justifyLastLine="0" shrinkToFit="0" readingOrder="0"/>
      <border diagonalUp="0" diagonalDown="0" outline="0">
        <left style="medium">
          <color theme="6" tint="0.39997558519241921"/>
        </left>
        <right style="medium">
          <color theme="6" tint="0.3999755851924192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Malgun Gothic"/>
        <family val="3"/>
        <charset val="129"/>
        <scheme val="minor"/>
      </font>
      <numFmt numFmtId="176" formatCode="&quot;₩&quot;#,##0.00_);[Red]\(&quot;₩&quot;#,##0.00\)"/>
      <fill>
        <patternFill patternType="solid">
          <fgColor indexed="64"/>
          <bgColor theme="6" tint="0.79998168889431442"/>
        </patternFill>
      </fill>
      <alignment horizontal="right" vertical="bottom" textRotation="0" wrapText="0" indent="0" justifyLastLine="0" shrinkToFit="0" readingOrder="0"/>
      <border diagonalUp="0" diagonalDown="0">
        <left style="medium">
          <color theme="6" tint="0.39997558519241921"/>
        </left>
        <right style="medium">
          <color theme="6" tint="0.39997558519241921"/>
        </right>
        <top style="medium">
          <color theme="6" tint="0.39997558519241921"/>
        </top>
        <bottom style="medium">
          <color theme="6" tint="0.39997558519241921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Malgun Gothic"/>
        <family val="3"/>
        <charset val="129"/>
        <scheme val="minor"/>
      </font>
      <fill>
        <patternFill patternType="solid">
          <fgColor indexed="64"/>
          <bgColor theme="6" tint="0.79998168889431442"/>
        </patternFill>
      </fill>
      <alignment horizontal="right" vertical="bottom" textRotation="0" wrapText="0" indent="0" justifyLastLine="0" shrinkToFit="0" readingOrder="0"/>
      <border diagonalUp="0" diagonalDown="0" outline="0">
        <left style="medium">
          <color theme="6" tint="0.39997558519241921"/>
        </left>
        <right style="medium">
          <color theme="6" tint="0.3999755851924192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Malgun Gothic"/>
        <family val="3"/>
        <charset val="129"/>
        <scheme val="minor"/>
      </font>
      <numFmt numFmtId="176" formatCode="&quot;₩&quot;#,##0.00_);[Red]\(&quot;₩&quot;#,##0.00\)"/>
      <fill>
        <patternFill patternType="solid">
          <fgColor indexed="64"/>
          <bgColor theme="6" tint="0.79998168889431442"/>
        </patternFill>
      </fill>
      <alignment horizontal="right" vertical="bottom" textRotation="0" wrapText="0" indent="0" justifyLastLine="0" shrinkToFit="0" readingOrder="0"/>
      <border diagonalUp="0" diagonalDown="0">
        <left style="medium">
          <color theme="6" tint="0.39997558519241921"/>
        </left>
        <right style="medium">
          <color theme="6" tint="0.39997558519241921"/>
        </right>
        <top style="medium">
          <color theme="6" tint="0.39997558519241921"/>
        </top>
        <bottom style="medium">
          <color theme="6" tint="0.39997558519241921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Malgun Gothic"/>
        <family val="3"/>
        <charset val="129"/>
        <scheme val="minor"/>
      </font>
      <fill>
        <patternFill patternType="solid">
          <fgColor indexed="64"/>
          <bgColor theme="6" tint="0.79998168889431442"/>
        </patternFill>
      </fill>
      <alignment horizontal="right" vertical="bottom" textRotation="0" wrapText="0" indent="0" justifyLastLine="0" shrinkToFit="0" readingOrder="0"/>
      <border diagonalUp="0" diagonalDown="0" outline="0">
        <left style="medium">
          <color theme="6" tint="0.39997558519241921"/>
        </left>
        <right style="medium">
          <color theme="6" tint="0.3999755851924192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Malgun Gothic"/>
        <family val="3"/>
        <charset val="129"/>
        <scheme val="minor"/>
      </font>
      <numFmt numFmtId="176" formatCode="&quot;₩&quot;#,##0.00_);[Red]\(&quot;₩&quot;#,##0.00\)"/>
      <fill>
        <patternFill patternType="solid">
          <fgColor indexed="64"/>
          <bgColor theme="6" tint="0.79998168889431442"/>
        </patternFill>
      </fill>
      <alignment horizontal="right" vertical="bottom" textRotation="0" wrapText="0" indent="0" justifyLastLine="0" shrinkToFit="0" readingOrder="0"/>
      <border diagonalUp="0" diagonalDown="0">
        <left style="medium">
          <color theme="6" tint="0.39997558519241921"/>
        </left>
        <right style="medium">
          <color theme="6" tint="0.39997558519241921"/>
        </right>
        <top style="medium">
          <color theme="6" tint="0.39997558519241921"/>
        </top>
        <bottom style="medium">
          <color theme="6" tint="0.39997558519241921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Malgun Gothic"/>
        <family val="3"/>
        <charset val="129"/>
        <scheme val="minor"/>
      </font>
      <fill>
        <patternFill patternType="solid">
          <fgColor indexed="64"/>
          <bgColor theme="6" tint="0.79998168889431442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 style="medium">
          <color theme="6" tint="0.3999755851924192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Malgun Gothic"/>
        <family val="3"/>
        <charset val="129"/>
        <scheme val="minor"/>
      </font>
      <numFmt numFmtId="176" formatCode="&quot;₩&quot;#,##0.00_);[Red]\(&quot;₩&quot;#,##0.00\)"/>
      <fill>
        <patternFill patternType="solid">
          <fgColor indexed="64"/>
          <bgColor theme="6" tint="0.79998168889431442"/>
        </patternFill>
      </fill>
      <alignment horizontal="right" vertical="bottom" textRotation="0" wrapText="0" indent="0" justifyLastLine="0" shrinkToFit="0" readingOrder="0"/>
      <border diagonalUp="0" diagonalDown="0">
        <left/>
        <right style="medium">
          <color theme="6" tint="0.39997558519241921"/>
        </right>
        <top style="medium">
          <color theme="6" tint="0.39997558519241921"/>
        </top>
        <bottom style="medium">
          <color theme="6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Malgun Gothic"/>
        <family val="3"/>
        <charset val="129"/>
        <scheme val="minor"/>
      </font>
      <fill>
        <patternFill patternType="solid">
          <fgColor indexed="64"/>
          <bgColor theme="3"/>
        </patternFill>
      </fill>
      <alignment horizontal="left" vertical="center" textRotation="0" wrapText="0" indent="1" justifyLastLine="0" shrinkToFit="0" readingOrder="0"/>
      <border diagonalUp="0" diagonalDown="0" outline="0">
        <left style="medium">
          <color theme="6" tint="0.39997558519241921"/>
        </left>
        <right style="medium">
          <color theme="6" tint="0.3999755851924192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Malgun Gothic"/>
        <family val="3"/>
        <charset val="129"/>
        <scheme val="minor"/>
      </font>
      <numFmt numFmtId="0" formatCode="General"/>
      <fill>
        <patternFill patternType="solid">
          <fgColor indexed="64"/>
          <bgColor theme="3"/>
        </patternFill>
      </fill>
      <alignment horizontal="left" vertical="center" textRotation="0" wrapText="0" relativeIndent="1" justifyLastLine="0" shrinkToFit="0" readingOrder="0"/>
      <border diagonalUp="0" diagonalDown="0">
        <left style="medium">
          <color theme="6" tint="0.39997558519241921"/>
        </left>
        <right style="medium">
          <color theme="6" tint="0.39997558519241921"/>
        </right>
        <top style="medium">
          <color theme="6" tint="0.39997558519241921"/>
        </top>
        <bottom/>
      </border>
    </dxf>
    <dxf>
      <border outline="0">
        <bottom style="medium">
          <color theme="6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Malgun Gothic"/>
        <family val="3"/>
        <charset val="129"/>
        <scheme val="minor"/>
      </font>
      <numFmt numFmtId="0" formatCode="General"/>
      <fill>
        <patternFill patternType="solid">
          <fgColor indexed="64"/>
          <bgColor theme="6" tint="0.79998168889431442"/>
        </patternFill>
      </fill>
      <alignment horizontal="right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theme="2"/>
        <name val="Malgun Gothic"/>
        <family val="3"/>
        <charset val="129"/>
        <scheme val="major"/>
      </font>
      <numFmt numFmtId="0" formatCode="General"/>
      <fill>
        <patternFill patternType="solid">
          <fgColor indexed="64"/>
          <bgColor theme="3" tint="-0.499984740745262"/>
        </patternFill>
      </fill>
      <alignment horizontal="general" vertical="center" textRotation="0" wrapText="0" indent="0" justifyLastLine="0" shrinkToFit="0" readingOrder="0"/>
    </dxf>
    <dxf>
      <font>
        <strike val="0"/>
        <outline val="0"/>
        <shadow val="0"/>
        <vertAlign val="baseline"/>
        <name val="Malgun Gothic"/>
        <family val="3"/>
        <charset val="129"/>
      </font>
      <fill>
        <patternFill patternType="solid">
          <fgColor indexed="64"/>
          <bgColor theme="6" tint="0.79998168889431442"/>
        </patternFill>
      </fill>
      <border diagonalUp="0" diagonalDown="0">
        <left style="medium">
          <color theme="6" tint="0.39994506668294322"/>
        </left>
        <right/>
        <top/>
        <bottom/>
      </border>
    </dxf>
    <dxf>
      <font>
        <strike val="0"/>
        <outline val="0"/>
        <shadow val="0"/>
        <vertAlign val="baseline"/>
        <name val="Malgun Gothic"/>
        <family val="3"/>
        <charset val="129"/>
      </font>
      <numFmt numFmtId="176" formatCode="&quot;₩&quot;#,##0.00_);[Red]\(&quot;₩&quot;#,##0.00\)"/>
      <fill>
        <patternFill patternType="solid">
          <fgColor indexed="64"/>
          <bgColor theme="6" tint="0.79998168889431442"/>
        </patternFill>
      </fill>
      <alignment vertical="center" textRotation="0" wrapText="0" indent="0" justifyLastLine="0" shrinkToFit="0" readingOrder="0"/>
      <border diagonalUp="0" diagonalDown="0">
        <left style="medium">
          <color theme="6" tint="0.39994506668294322"/>
        </left>
        <right/>
        <top style="medium">
          <color theme="6" tint="0.39994506668294322"/>
        </top>
        <bottom style="medium">
          <color theme="6" tint="0.39994506668294322"/>
        </bottom>
      </border>
    </dxf>
    <dxf>
      <font>
        <strike val="0"/>
        <outline val="0"/>
        <shadow val="0"/>
        <vertAlign val="baseline"/>
        <name val="Malgun Gothic"/>
        <family val="3"/>
        <charset val="129"/>
      </font>
      <fill>
        <patternFill patternType="solid">
          <fgColor indexed="64"/>
          <bgColor theme="6" tint="0.79998168889431442"/>
        </patternFill>
      </fill>
      <border diagonalUp="0" diagonalDown="0">
        <left style="medium">
          <color theme="6" tint="0.39994506668294322"/>
        </left>
        <right style="medium">
          <color theme="6" tint="0.39994506668294322"/>
        </right>
        <top/>
        <bottom/>
      </border>
    </dxf>
    <dxf>
      <font>
        <strike val="0"/>
        <outline val="0"/>
        <shadow val="0"/>
        <vertAlign val="baseline"/>
        <name val="Malgun Gothic"/>
        <family val="3"/>
        <charset val="129"/>
      </font>
      <numFmt numFmtId="176" formatCode="&quot;₩&quot;#,##0.00_);[Red]\(&quot;₩&quot;#,##0.00\)"/>
      <fill>
        <patternFill patternType="solid">
          <fgColor indexed="64"/>
          <bgColor theme="0"/>
        </patternFill>
      </fill>
      <alignment vertical="center" textRotation="0" wrapText="0" indent="0" justifyLastLine="0" shrinkToFit="0" readingOrder="0"/>
      <border diagonalUp="0" diagonalDown="0">
        <left style="medium">
          <color theme="6" tint="0.39994506668294322"/>
        </left>
        <right style="medium">
          <color theme="6" tint="0.39994506668294322"/>
        </right>
        <top style="medium">
          <color theme="6" tint="0.39994506668294322"/>
        </top>
        <bottom style="medium">
          <color theme="6" tint="0.39994506668294322"/>
        </bottom>
      </border>
    </dxf>
    <dxf>
      <font>
        <strike val="0"/>
        <outline val="0"/>
        <shadow val="0"/>
        <vertAlign val="baseline"/>
        <name val="Malgun Gothic"/>
        <family val="3"/>
        <charset val="129"/>
      </font>
      <fill>
        <patternFill patternType="solid">
          <fgColor indexed="64"/>
          <bgColor theme="6" tint="0.79998168889431442"/>
        </patternFill>
      </fill>
      <border diagonalUp="0" diagonalDown="0">
        <left style="medium">
          <color theme="6" tint="0.39994506668294322"/>
        </left>
        <right style="medium">
          <color theme="6" tint="0.39994506668294322"/>
        </right>
        <top/>
        <bottom/>
      </border>
    </dxf>
    <dxf>
      <font>
        <strike val="0"/>
        <outline val="0"/>
        <shadow val="0"/>
        <vertAlign val="baseline"/>
        <name val="Malgun Gothic"/>
        <family val="3"/>
        <charset val="129"/>
      </font>
      <numFmt numFmtId="176" formatCode="&quot;₩&quot;#,##0.00_);[Red]\(&quot;₩&quot;#,##0.00\)"/>
      <fill>
        <patternFill patternType="solid">
          <fgColor indexed="64"/>
          <bgColor theme="0"/>
        </patternFill>
      </fill>
      <alignment vertical="center" textRotation="0" wrapText="0" indent="0" justifyLastLine="0" shrinkToFit="0" readingOrder="0"/>
      <border diagonalUp="0" diagonalDown="0">
        <left style="medium">
          <color theme="6" tint="0.39994506668294322"/>
        </left>
        <right style="medium">
          <color theme="6" tint="0.39994506668294322"/>
        </right>
        <top style="medium">
          <color theme="6" tint="0.39994506668294322"/>
        </top>
        <bottom style="medium">
          <color theme="6" tint="0.39994506668294322"/>
        </bottom>
      </border>
    </dxf>
    <dxf>
      <font>
        <strike val="0"/>
        <outline val="0"/>
        <shadow val="0"/>
        <vertAlign val="baseline"/>
        <name val="Malgun Gothic"/>
        <family val="3"/>
        <charset val="129"/>
      </font>
      <fill>
        <patternFill patternType="solid">
          <fgColor indexed="64"/>
          <bgColor theme="6" tint="0.79998168889431442"/>
        </patternFill>
      </fill>
      <border diagonalUp="0" diagonalDown="0">
        <left style="medium">
          <color theme="6" tint="0.39994506668294322"/>
        </left>
        <right style="medium">
          <color theme="6" tint="0.39994506668294322"/>
        </right>
        <top/>
        <bottom/>
      </border>
    </dxf>
    <dxf>
      <font>
        <strike val="0"/>
        <outline val="0"/>
        <shadow val="0"/>
        <vertAlign val="baseline"/>
        <name val="Malgun Gothic"/>
        <family val="3"/>
        <charset val="129"/>
      </font>
      <numFmt numFmtId="176" formatCode="&quot;₩&quot;#,##0.00_);[Red]\(&quot;₩&quot;#,##0.00\)"/>
      <fill>
        <patternFill patternType="solid">
          <fgColor indexed="64"/>
          <bgColor theme="0"/>
        </patternFill>
      </fill>
      <alignment vertical="center" textRotation="0" wrapText="0" indent="0" justifyLastLine="0" shrinkToFit="0" readingOrder="0"/>
      <border diagonalUp="0" diagonalDown="0">
        <left style="medium">
          <color theme="6" tint="0.39994506668294322"/>
        </left>
        <right style="medium">
          <color theme="6" tint="0.39994506668294322"/>
        </right>
        <top style="medium">
          <color theme="6" tint="0.39994506668294322"/>
        </top>
        <bottom style="medium">
          <color theme="6" tint="0.39994506668294322"/>
        </bottom>
      </border>
    </dxf>
    <dxf>
      <font>
        <strike val="0"/>
        <outline val="0"/>
        <shadow val="0"/>
        <vertAlign val="baseline"/>
        <name val="Malgun Gothic"/>
        <family val="3"/>
        <charset val="129"/>
      </font>
      <fill>
        <patternFill patternType="solid">
          <fgColor indexed="64"/>
          <bgColor theme="6" tint="0.79998168889431442"/>
        </patternFill>
      </fill>
      <border diagonalUp="0" diagonalDown="0">
        <left style="medium">
          <color theme="6" tint="0.39994506668294322"/>
        </left>
        <right style="medium">
          <color theme="6" tint="0.39994506668294322"/>
        </right>
        <top/>
        <bottom/>
      </border>
    </dxf>
    <dxf>
      <font>
        <strike val="0"/>
        <outline val="0"/>
        <shadow val="0"/>
        <vertAlign val="baseline"/>
        <name val="Malgun Gothic"/>
        <family val="3"/>
        <charset val="129"/>
      </font>
      <numFmt numFmtId="176" formatCode="&quot;₩&quot;#,##0.00_);[Red]\(&quot;₩&quot;#,##0.00\)"/>
      <fill>
        <patternFill patternType="solid">
          <fgColor indexed="64"/>
          <bgColor theme="0"/>
        </patternFill>
      </fill>
      <alignment vertical="center" textRotation="0" wrapText="0" indent="0" justifyLastLine="0" shrinkToFit="0" readingOrder="0"/>
      <border diagonalUp="0" diagonalDown="0">
        <left style="medium">
          <color theme="6" tint="0.39994506668294322"/>
        </left>
        <right style="medium">
          <color theme="6" tint="0.39994506668294322"/>
        </right>
        <top style="medium">
          <color theme="6" tint="0.39994506668294322"/>
        </top>
        <bottom style="medium">
          <color theme="6" tint="0.39994506668294322"/>
        </bottom>
      </border>
    </dxf>
    <dxf>
      <font>
        <strike val="0"/>
        <outline val="0"/>
        <shadow val="0"/>
        <vertAlign val="baseline"/>
        <name val="Malgun Gothic"/>
        <family val="3"/>
        <charset val="129"/>
      </font>
      <fill>
        <patternFill patternType="solid">
          <fgColor indexed="64"/>
          <bgColor theme="6" tint="0.79998168889431442"/>
        </patternFill>
      </fill>
      <border diagonalUp="0" diagonalDown="0">
        <left style="medium">
          <color theme="6" tint="0.39994506668294322"/>
        </left>
        <right style="medium">
          <color theme="6" tint="0.39994506668294322"/>
        </right>
        <top/>
        <bottom/>
      </border>
    </dxf>
    <dxf>
      <font>
        <strike val="0"/>
        <outline val="0"/>
        <shadow val="0"/>
        <vertAlign val="baseline"/>
        <name val="Malgun Gothic"/>
        <family val="3"/>
        <charset val="129"/>
      </font>
      <numFmt numFmtId="176" formatCode="&quot;₩&quot;#,##0.00_);[Red]\(&quot;₩&quot;#,##0.00\)"/>
      <fill>
        <patternFill patternType="solid">
          <fgColor indexed="64"/>
          <bgColor theme="0"/>
        </patternFill>
      </fill>
      <alignment vertical="center" textRotation="0" wrapText="0" indent="0" justifyLastLine="0" shrinkToFit="0" readingOrder="0"/>
      <border diagonalUp="0" diagonalDown="0">
        <left style="medium">
          <color theme="6" tint="0.39994506668294322"/>
        </left>
        <right style="medium">
          <color theme="6" tint="0.39994506668294322"/>
        </right>
        <top style="medium">
          <color theme="6" tint="0.39994506668294322"/>
        </top>
        <bottom style="medium">
          <color theme="6" tint="0.39994506668294322"/>
        </bottom>
      </border>
    </dxf>
    <dxf>
      <font>
        <strike val="0"/>
        <outline val="0"/>
        <shadow val="0"/>
        <vertAlign val="baseline"/>
        <name val="Malgun Gothic"/>
        <family val="3"/>
        <charset val="129"/>
      </font>
      <fill>
        <patternFill patternType="solid">
          <fgColor indexed="64"/>
          <bgColor theme="6" tint="0.79998168889431442"/>
        </patternFill>
      </fill>
      <border diagonalUp="0" diagonalDown="0">
        <left style="medium">
          <color theme="6" tint="0.39994506668294322"/>
        </left>
        <right style="medium">
          <color theme="6" tint="0.39994506668294322"/>
        </right>
        <top/>
        <bottom/>
      </border>
    </dxf>
    <dxf>
      <font>
        <strike val="0"/>
        <outline val="0"/>
        <shadow val="0"/>
        <vertAlign val="baseline"/>
        <name val="Malgun Gothic"/>
        <family val="3"/>
        <charset val="129"/>
      </font>
      <numFmt numFmtId="176" formatCode="&quot;₩&quot;#,##0.00_);[Red]\(&quot;₩&quot;#,##0.00\)"/>
      <fill>
        <patternFill patternType="solid">
          <fgColor indexed="64"/>
          <bgColor theme="0"/>
        </patternFill>
      </fill>
      <alignment vertical="center" textRotation="0" wrapText="0" indent="0" justifyLastLine="0" shrinkToFit="0" readingOrder="0"/>
      <border diagonalUp="0" diagonalDown="0">
        <left style="medium">
          <color theme="6" tint="0.39994506668294322"/>
        </left>
        <right style="medium">
          <color theme="6" tint="0.39994506668294322"/>
        </right>
        <top style="medium">
          <color theme="6" tint="0.39994506668294322"/>
        </top>
        <bottom style="medium">
          <color theme="6" tint="0.39994506668294322"/>
        </bottom>
      </border>
    </dxf>
    <dxf>
      <font>
        <strike val="0"/>
        <outline val="0"/>
        <shadow val="0"/>
        <vertAlign val="baseline"/>
        <name val="Malgun Gothic"/>
        <family val="3"/>
        <charset val="129"/>
      </font>
      <fill>
        <patternFill patternType="solid">
          <fgColor indexed="64"/>
          <bgColor theme="6" tint="0.79998168889431442"/>
        </patternFill>
      </fill>
      <border diagonalUp="0" diagonalDown="0">
        <left style="medium">
          <color theme="6" tint="0.39994506668294322"/>
        </left>
        <right style="medium">
          <color theme="6" tint="0.39994506668294322"/>
        </right>
        <top/>
        <bottom/>
      </border>
    </dxf>
    <dxf>
      <font>
        <strike val="0"/>
        <outline val="0"/>
        <shadow val="0"/>
        <vertAlign val="baseline"/>
        <name val="Malgun Gothic"/>
        <family val="3"/>
        <charset val="129"/>
      </font>
      <numFmt numFmtId="176" formatCode="&quot;₩&quot;#,##0.00_);[Red]\(&quot;₩&quot;#,##0.00\)"/>
      <fill>
        <patternFill patternType="solid">
          <fgColor indexed="64"/>
          <bgColor theme="0"/>
        </patternFill>
      </fill>
      <alignment vertical="center" textRotation="0" wrapText="0" indent="0" justifyLastLine="0" shrinkToFit="0" readingOrder="0"/>
      <border diagonalUp="0" diagonalDown="0">
        <left style="medium">
          <color theme="6" tint="0.39994506668294322"/>
        </left>
        <right style="medium">
          <color theme="6" tint="0.39994506668294322"/>
        </right>
        <top style="medium">
          <color theme="6" tint="0.39994506668294322"/>
        </top>
        <bottom style="medium">
          <color theme="6" tint="0.39994506668294322"/>
        </bottom>
      </border>
    </dxf>
    <dxf>
      <font>
        <strike val="0"/>
        <outline val="0"/>
        <shadow val="0"/>
        <vertAlign val="baseline"/>
        <name val="Malgun Gothic"/>
        <family val="3"/>
        <charset val="129"/>
      </font>
      <fill>
        <patternFill patternType="solid">
          <fgColor indexed="64"/>
          <bgColor theme="6" tint="0.79998168889431442"/>
        </patternFill>
      </fill>
      <border diagonalUp="0" diagonalDown="0">
        <left style="medium">
          <color theme="6" tint="0.39994506668294322"/>
        </left>
        <right style="medium">
          <color theme="6" tint="0.39994506668294322"/>
        </right>
        <top/>
        <bottom/>
      </border>
    </dxf>
    <dxf>
      <font>
        <strike val="0"/>
        <outline val="0"/>
        <shadow val="0"/>
        <vertAlign val="baseline"/>
        <name val="Malgun Gothic"/>
        <family val="3"/>
        <charset val="129"/>
      </font>
      <numFmt numFmtId="176" formatCode="&quot;₩&quot;#,##0.00_);[Red]\(&quot;₩&quot;#,##0.00\)"/>
      <fill>
        <patternFill patternType="solid">
          <fgColor indexed="64"/>
          <bgColor theme="0"/>
        </patternFill>
      </fill>
      <alignment vertical="center" textRotation="0" wrapText="0" indent="0" justifyLastLine="0" shrinkToFit="0" readingOrder="0"/>
      <border diagonalUp="0" diagonalDown="0">
        <left style="medium">
          <color theme="6" tint="0.39994506668294322"/>
        </left>
        <right style="medium">
          <color theme="6" tint="0.39994506668294322"/>
        </right>
        <top style="medium">
          <color theme="6" tint="0.39994506668294322"/>
        </top>
        <bottom style="medium">
          <color theme="6" tint="0.39994506668294322"/>
        </bottom>
      </border>
    </dxf>
    <dxf>
      <font>
        <strike val="0"/>
        <outline val="0"/>
        <shadow val="0"/>
        <vertAlign val="baseline"/>
        <name val="Malgun Gothic"/>
        <family val="3"/>
        <charset val="129"/>
      </font>
      <fill>
        <patternFill patternType="solid">
          <fgColor indexed="64"/>
          <bgColor theme="6" tint="0.79998168889431442"/>
        </patternFill>
      </fill>
      <border diagonalUp="0" diagonalDown="0">
        <left style="medium">
          <color theme="6" tint="0.39994506668294322"/>
        </left>
        <right style="medium">
          <color theme="6" tint="0.39994506668294322"/>
        </right>
        <top/>
        <bottom/>
      </border>
    </dxf>
    <dxf>
      <font>
        <strike val="0"/>
        <outline val="0"/>
        <shadow val="0"/>
        <vertAlign val="baseline"/>
        <name val="Malgun Gothic"/>
        <family val="3"/>
        <charset val="129"/>
      </font>
      <numFmt numFmtId="176" formatCode="&quot;₩&quot;#,##0.00_);[Red]\(&quot;₩&quot;#,##0.00\)"/>
      <fill>
        <patternFill patternType="solid">
          <fgColor indexed="64"/>
          <bgColor theme="0"/>
        </patternFill>
      </fill>
      <alignment vertical="center" textRotation="0" wrapText="0" indent="0" justifyLastLine="0" shrinkToFit="0" readingOrder="0"/>
      <border diagonalUp="0" diagonalDown="0">
        <left style="medium">
          <color theme="6" tint="0.39994506668294322"/>
        </left>
        <right style="medium">
          <color theme="6" tint="0.39994506668294322"/>
        </right>
        <top style="medium">
          <color theme="6" tint="0.39994506668294322"/>
        </top>
        <bottom style="medium">
          <color theme="6" tint="0.39994506668294322"/>
        </bottom>
      </border>
    </dxf>
    <dxf>
      <font>
        <strike val="0"/>
        <outline val="0"/>
        <shadow val="0"/>
        <vertAlign val="baseline"/>
        <name val="Malgun Gothic"/>
        <family val="3"/>
        <charset val="129"/>
      </font>
      <fill>
        <patternFill patternType="solid">
          <fgColor indexed="64"/>
          <bgColor theme="6" tint="0.79998168889431442"/>
        </patternFill>
      </fill>
      <border diagonalUp="0" diagonalDown="0">
        <left style="medium">
          <color theme="6" tint="0.39994506668294322"/>
        </left>
        <right style="medium">
          <color theme="6" tint="0.39994506668294322"/>
        </right>
        <top/>
        <bottom/>
      </border>
    </dxf>
    <dxf>
      <font>
        <strike val="0"/>
        <outline val="0"/>
        <shadow val="0"/>
        <vertAlign val="baseline"/>
        <name val="Malgun Gothic"/>
        <family val="3"/>
        <charset val="129"/>
      </font>
      <numFmt numFmtId="176" formatCode="&quot;₩&quot;#,##0.00_);[Red]\(&quot;₩&quot;#,##0.00\)"/>
      <fill>
        <patternFill patternType="solid">
          <fgColor indexed="64"/>
          <bgColor theme="0"/>
        </patternFill>
      </fill>
      <alignment vertical="center" textRotation="0" wrapText="0" indent="0" justifyLastLine="0" shrinkToFit="0" readingOrder="0"/>
      <border diagonalUp="0" diagonalDown="0">
        <left style="medium">
          <color theme="6" tint="0.39994506668294322"/>
        </left>
        <right style="medium">
          <color theme="6" tint="0.39994506668294322"/>
        </right>
        <top style="medium">
          <color theme="6" tint="0.39994506668294322"/>
        </top>
        <bottom style="medium">
          <color theme="6" tint="0.39994506668294322"/>
        </bottom>
      </border>
    </dxf>
    <dxf>
      <font>
        <strike val="0"/>
        <outline val="0"/>
        <shadow val="0"/>
        <vertAlign val="baseline"/>
        <name val="Malgun Gothic"/>
        <family val="3"/>
        <charset val="129"/>
      </font>
      <fill>
        <patternFill patternType="solid">
          <fgColor indexed="64"/>
          <bgColor theme="6" tint="0.79998168889431442"/>
        </patternFill>
      </fill>
      <border diagonalUp="0" diagonalDown="0">
        <left style="medium">
          <color theme="6" tint="0.39994506668294322"/>
        </left>
        <right style="medium">
          <color theme="6" tint="0.39994506668294322"/>
        </right>
        <top/>
        <bottom/>
      </border>
    </dxf>
    <dxf>
      <font>
        <strike val="0"/>
        <outline val="0"/>
        <shadow val="0"/>
        <vertAlign val="baseline"/>
        <name val="Malgun Gothic"/>
        <family val="3"/>
        <charset val="129"/>
      </font>
      <numFmt numFmtId="176" formatCode="&quot;₩&quot;#,##0.00_);[Red]\(&quot;₩&quot;#,##0.00\)"/>
      <fill>
        <patternFill patternType="solid">
          <fgColor indexed="64"/>
          <bgColor theme="0"/>
        </patternFill>
      </fill>
      <alignment vertical="center" textRotation="0" wrapText="0" indent="0" justifyLastLine="0" shrinkToFit="0" readingOrder="0"/>
      <border diagonalUp="0" diagonalDown="0">
        <left style="medium">
          <color theme="6" tint="0.39994506668294322"/>
        </left>
        <right style="medium">
          <color theme="6" tint="0.39994506668294322"/>
        </right>
        <top style="medium">
          <color theme="6" tint="0.39994506668294322"/>
        </top>
        <bottom style="medium">
          <color theme="6" tint="0.39994506668294322"/>
        </bottom>
      </border>
    </dxf>
    <dxf>
      <font>
        <strike val="0"/>
        <outline val="0"/>
        <shadow val="0"/>
        <vertAlign val="baseline"/>
        <name val="Malgun Gothic"/>
        <family val="3"/>
        <charset val="129"/>
      </font>
      <fill>
        <patternFill patternType="solid">
          <fgColor indexed="64"/>
          <bgColor theme="6" tint="0.79998168889431442"/>
        </patternFill>
      </fill>
      <border diagonalUp="0" diagonalDown="0">
        <left style="medium">
          <color theme="6" tint="0.39994506668294322"/>
        </left>
        <right style="medium">
          <color theme="6" tint="0.39994506668294322"/>
        </right>
        <top/>
        <bottom/>
      </border>
    </dxf>
    <dxf>
      <font>
        <strike val="0"/>
        <outline val="0"/>
        <shadow val="0"/>
        <vertAlign val="baseline"/>
        <name val="Malgun Gothic"/>
        <family val="3"/>
        <charset val="129"/>
      </font>
      <numFmt numFmtId="176" formatCode="&quot;₩&quot;#,##0.00_);[Red]\(&quot;₩&quot;#,##0.00\)"/>
      <fill>
        <patternFill patternType="solid">
          <fgColor indexed="64"/>
          <bgColor theme="0"/>
        </patternFill>
      </fill>
      <alignment vertical="center" textRotation="0" wrapText="0" indent="0" justifyLastLine="0" shrinkToFit="0" readingOrder="0"/>
      <border diagonalUp="0" diagonalDown="0">
        <left/>
        <right style="medium">
          <color theme="6" tint="0.39994506668294322"/>
        </right>
        <top style="medium">
          <color theme="6" tint="0.39994506668294322"/>
        </top>
        <bottom style="medium">
          <color theme="6" tint="0.39994506668294322"/>
        </bottom>
      </border>
    </dxf>
    <dxf>
      <font>
        <strike val="0"/>
        <outline val="0"/>
        <shadow val="0"/>
        <vertAlign val="baseline"/>
        <name val="Malgun Gothic"/>
        <family val="3"/>
        <charset val="129"/>
      </font>
      <fill>
        <patternFill patternType="solid">
          <fgColor indexed="64"/>
          <bgColor theme="6" tint="0.79998168889431442"/>
        </patternFill>
      </fill>
      <border diagonalUp="0" diagonalDown="0">
        <left/>
        <right style="medium">
          <color theme="6" tint="0.39994506668294322"/>
        </right>
        <top/>
        <bottom/>
      </border>
    </dxf>
    <dxf>
      <font>
        <b/>
        <strike val="0"/>
        <outline val="0"/>
        <shadow val="0"/>
        <u val="none"/>
        <vertAlign val="baseline"/>
        <sz val="10"/>
        <color theme="0"/>
        <name val="Malgun Gothic"/>
        <family val="3"/>
        <charset val="129"/>
        <scheme val="minor"/>
      </font>
      <fill>
        <patternFill patternType="solid">
          <fgColor indexed="64"/>
          <bgColor theme="3"/>
        </patternFill>
      </fill>
      <alignment horizontal="left" vertical="center" textRotation="0" wrapText="0" relativeIndent="-1" justifyLastLine="0" shrinkToFit="0" readingOrder="0"/>
      <border diagonalUp="0" diagonalDown="0">
        <left/>
        <right style="medium">
          <color theme="6" tint="0.39994506668294322"/>
        </right>
        <top style="medium">
          <color theme="6" tint="0.39994506668294322"/>
        </top>
        <bottom style="medium">
          <color theme="6" tint="0.39994506668294322"/>
        </bottom>
      </border>
    </dxf>
    <dxf>
      <border>
        <top style="medium">
          <color theme="6" tint="0.39994506668294322"/>
        </top>
      </border>
    </dxf>
    <dxf>
      <font>
        <strike val="0"/>
        <outline val="0"/>
        <shadow val="0"/>
        <vertAlign val="baseline"/>
        <name val="Malgun Gothic"/>
        <family val="3"/>
        <charset val="129"/>
      </font>
      <fill>
        <patternFill patternType="solid">
          <fgColor indexed="64"/>
          <bgColor theme="6" tint="0.79998168889431442"/>
        </patternFill>
      </fill>
      <border diagonalUp="0" diagonalDown="0">
        <left style="medium">
          <color theme="6" tint="0.39994506668294322"/>
        </left>
        <right style="medium">
          <color theme="6" tint="0.39994506668294322"/>
        </right>
        <top/>
        <bottom/>
      </border>
    </dxf>
    <dxf>
      <border diagonalUp="0" diagonalDown="0">
        <left style="medium">
          <color theme="6" tint="0.39994506668294322"/>
        </left>
        <right style="medium">
          <color theme="6" tint="0.39994506668294322"/>
        </right>
        <top style="medium">
          <color theme="6" tint="0.39994506668294322"/>
        </top>
        <bottom style="medium">
          <color theme="6" tint="0.39994506668294322"/>
        </bottom>
      </border>
    </dxf>
    <dxf>
      <font>
        <strike val="0"/>
        <outline val="0"/>
        <shadow val="0"/>
        <vertAlign val="baseline"/>
        <name val="Malgun Gothic"/>
        <family val="3"/>
        <charset val="129"/>
      </font>
    </dxf>
    <dxf>
      <border>
        <bottom style="medium">
          <color theme="6" tint="0.39994506668294322"/>
        </bottom>
      </border>
    </dxf>
    <dxf>
      <font>
        <strike val="0"/>
        <outline val="0"/>
        <shadow val="0"/>
        <vertAlign val="baseline"/>
        <name val="Malgun Gothic"/>
        <family val="3"/>
        <charset val="129"/>
      </font>
      <border diagonalUp="0" diagonalDown="0">
        <left style="medium">
          <color theme="6" tint="0.39994506668294322"/>
        </left>
        <right style="medium">
          <color theme="6" tint="0.39994506668294322"/>
        </right>
        <top/>
        <bottom/>
        <vertical style="medium">
          <color theme="6" tint="0.39994506668294322"/>
        </vertical>
        <horizontal style="medium">
          <color theme="6" tint="0.39994506668294322"/>
        </horizontal>
      </border>
    </dxf>
    <dxf>
      <numFmt numFmtId="176" formatCode="&quot;₩&quot;#,##0.00_);[Red]\(&quot;₩&quot;#,##0.00\)"/>
      <fill>
        <patternFill patternType="solid">
          <fgColor indexed="64"/>
          <bgColor theme="6" tint="0.79998168889431442"/>
        </patternFill>
      </fill>
      <alignment horizontal="general" vertical="center" textRotation="0" wrapText="0" indent="0" justifyLastLine="0" shrinkToFit="0" readingOrder="0"/>
      <border diagonalUp="0" diagonalDown="0" outline="0">
        <left style="medium">
          <color theme="6" tint="0.39994506668294322"/>
        </left>
        <right/>
        <top style="medium">
          <color theme="6" tint="0.39994506668294322"/>
        </top>
        <bottom/>
      </border>
    </dxf>
    <dxf>
      <font>
        <strike val="0"/>
        <outline val="0"/>
        <shadow val="0"/>
        <vertAlign val="baseline"/>
        <name val="Malgun Gothic"/>
        <family val="3"/>
        <charset val="129"/>
      </font>
      <numFmt numFmtId="176" formatCode="&quot;₩&quot;#,##0.00_);[Red]\(&quot;₩&quot;#,##0.00\)"/>
      <fill>
        <patternFill patternType="solid">
          <fgColor indexed="64"/>
          <bgColor theme="6" tint="0.79998168889431442"/>
        </patternFill>
      </fill>
      <alignment vertical="center" textRotation="0" wrapText="0" indent="0" justifyLastLine="0" shrinkToFit="0" readingOrder="0"/>
      <border diagonalUp="0" diagonalDown="0">
        <left style="medium">
          <color theme="6" tint="0.39994506668294322"/>
        </left>
        <right/>
        <top style="medium">
          <color theme="6" tint="0.39994506668294322"/>
        </top>
        <bottom style="medium">
          <color theme="6" tint="0.39994506668294322"/>
        </bottom>
      </border>
    </dxf>
    <dxf>
      <numFmt numFmtId="176" formatCode="&quot;₩&quot;#,##0.00_);[Red]\(&quot;₩&quot;#,##0.00\)"/>
      <fill>
        <patternFill patternType="solid">
          <fgColor indexed="64"/>
          <bgColor theme="6" tint="0.79998168889431442"/>
        </patternFill>
      </fill>
      <alignment horizontal="general" vertical="center" textRotation="0" wrapText="0" indent="0" justifyLastLine="0" shrinkToFit="0" readingOrder="0"/>
      <border diagonalUp="0" diagonalDown="0" outline="0">
        <left style="medium">
          <color theme="6" tint="0.39994506668294322"/>
        </left>
        <right style="medium">
          <color theme="6" tint="0.39994506668294322"/>
        </right>
        <top style="medium">
          <color theme="6" tint="0.39994506668294322"/>
        </top>
        <bottom/>
      </border>
    </dxf>
    <dxf>
      <font>
        <strike val="0"/>
        <outline val="0"/>
        <shadow val="0"/>
        <vertAlign val="baseline"/>
        <name val="Malgun Gothic"/>
        <family val="3"/>
        <charset val="129"/>
      </font>
      <numFmt numFmtId="176" formatCode="&quot;₩&quot;#,##0.00_);[Red]\(&quot;₩&quot;#,##0.00\)"/>
      <fill>
        <patternFill patternType="solid">
          <fgColor indexed="64"/>
          <bgColor theme="0"/>
        </patternFill>
      </fill>
      <alignment vertical="center" textRotation="0" wrapText="0" indent="0" justifyLastLine="0" shrinkToFit="0" readingOrder="0"/>
      <border diagonalUp="0" diagonalDown="0">
        <left style="medium">
          <color theme="6" tint="0.39994506668294322"/>
        </left>
        <right style="medium">
          <color theme="6" tint="0.39994506668294322"/>
        </right>
        <top style="medium">
          <color theme="6" tint="0.39994506668294322"/>
        </top>
        <bottom style="medium">
          <color theme="6" tint="0.39994506668294322"/>
        </bottom>
      </border>
    </dxf>
    <dxf>
      <numFmt numFmtId="176" formatCode="&quot;₩&quot;#,##0.00_);[Red]\(&quot;₩&quot;#,##0.00\)"/>
      <fill>
        <patternFill patternType="solid">
          <fgColor indexed="64"/>
          <bgColor theme="6" tint="0.79998168889431442"/>
        </patternFill>
      </fill>
      <alignment horizontal="general" vertical="center" textRotation="0" wrapText="0" indent="0" justifyLastLine="0" shrinkToFit="0" readingOrder="0"/>
      <border diagonalUp="0" diagonalDown="0" outline="0">
        <left style="medium">
          <color theme="6" tint="0.39994506668294322"/>
        </left>
        <right style="medium">
          <color theme="6" tint="0.39994506668294322"/>
        </right>
        <top style="medium">
          <color theme="6" tint="0.39994506668294322"/>
        </top>
        <bottom/>
      </border>
    </dxf>
    <dxf>
      <font>
        <strike val="0"/>
        <outline val="0"/>
        <shadow val="0"/>
        <vertAlign val="baseline"/>
        <name val="Malgun Gothic"/>
        <family val="3"/>
        <charset val="129"/>
      </font>
      <numFmt numFmtId="176" formatCode="&quot;₩&quot;#,##0.00_);[Red]\(&quot;₩&quot;#,##0.00\)"/>
      <fill>
        <patternFill patternType="solid">
          <fgColor indexed="64"/>
          <bgColor theme="0"/>
        </patternFill>
      </fill>
      <alignment vertical="center" textRotation="0" wrapText="0" indent="0" justifyLastLine="0" shrinkToFit="0" readingOrder="0"/>
      <border diagonalUp="0" diagonalDown="0">
        <left style="medium">
          <color theme="6" tint="0.39994506668294322"/>
        </left>
        <right style="medium">
          <color theme="6" tint="0.39994506668294322"/>
        </right>
        <top style="medium">
          <color theme="6" tint="0.39994506668294322"/>
        </top>
        <bottom style="medium">
          <color theme="6" tint="0.39994506668294322"/>
        </bottom>
      </border>
    </dxf>
    <dxf>
      <numFmt numFmtId="176" formatCode="&quot;₩&quot;#,##0.00_);[Red]\(&quot;₩&quot;#,##0.00\)"/>
      <fill>
        <patternFill patternType="solid">
          <fgColor indexed="64"/>
          <bgColor theme="6" tint="0.79998168889431442"/>
        </patternFill>
      </fill>
      <alignment horizontal="general" vertical="center" textRotation="0" wrapText="0" indent="0" justifyLastLine="0" shrinkToFit="0" readingOrder="0"/>
      <border diagonalUp="0" diagonalDown="0" outline="0">
        <left style="medium">
          <color theme="6" tint="0.39994506668294322"/>
        </left>
        <right style="medium">
          <color theme="6" tint="0.39994506668294322"/>
        </right>
        <top style="medium">
          <color theme="6" tint="0.39994506668294322"/>
        </top>
        <bottom/>
      </border>
    </dxf>
    <dxf>
      <font>
        <strike val="0"/>
        <outline val="0"/>
        <shadow val="0"/>
        <vertAlign val="baseline"/>
        <name val="Malgun Gothic"/>
        <family val="3"/>
        <charset val="129"/>
      </font>
      <numFmt numFmtId="176" formatCode="&quot;₩&quot;#,##0.00_);[Red]\(&quot;₩&quot;#,##0.00\)"/>
      <fill>
        <patternFill patternType="solid">
          <fgColor indexed="64"/>
          <bgColor theme="0"/>
        </patternFill>
      </fill>
      <alignment vertical="center" textRotation="0" wrapText="0" indent="0" justifyLastLine="0" shrinkToFit="0" readingOrder="0"/>
      <border diagonalUp="0" diagonalDown="0">
        <left style="medium">
          <color theme="6" tint="0.39994506668294322"/>
        </left>
        <right style="medium">
          <color theme="6" tint="0.39994506668294322"/>
        </right>
        <top style="medium">
          <color theme="6" tint="0.39994506668294322"/>
        </top>
        <bottom style="medium">
          <color theme="6" tint="0.39994506668294322"/>
        </bottom>
      </border>
    </dxf>
    <dxf>
      <numFmt numFmtId="176" formatCode="&quot;₩&quot;#,##0.00_);[Red]\(&quot;₩&quot;#,##0.00\)"/>
      <fill>
        <patternFill patternType="solid">
          <fgColor indexed="64"/>
          <bgColor theme="6" tint="0.79998168889431442"/>
        </patternFill>
      </fill>
      <alignment horizontal="general" vertical="center" textRotation="0" wrapText="0" indent="0" justifyLastLine="0" shrinkToFit="0" readingOrder="0"/>
      <border diagonalUp="0" diagonalDown="0" outline="0">
        <left style="medium">
          <color theme="6" tint="0.39994506668294322"/>
        </left>
        <right style="medium">
          <color theme="6" tint="0.39994506668294322"/>
        </right>
        <top style="medium">
          <color theme="6" tint="0.39994506668294322"/>
        </top>
        <bottom/>
      </border>
    </dxf>
    <dxf>
      <font>
        <strike val="0"/>
        <outline val="0"/>
        <shadow val="0"/>
        <vertAlign val="baseline"/>
        <name val="Malgun Gothic"/>
        <family val="3"/>
        <charset val="129"/>
      </font>
      <numFmt numFmtId="176" formatCode="&quot;₩&quot;#,##0.00_);[Red]\(&quot;₩&quot;#,##0.00\)"/>
      <fill>
        <patternFill patternType="solid">
          <fgColor indexed="64"/>
          <bgColor theme="0"/>
        </patternFill>
      </fill>
      <alignment vertical="center" textRotation="0" wrapText="0" indent="0" justifyLastLine="0" shrinkToFit="0" readingOrder="0"/>
      <border diagonalUp="0" diagonalDown="0">
        <left style="medium">
          <color theme="6" tint="0.39994506668294322"/>
        </left>
        <right style="medium">
          <color theme="6" tint="0.39994506668294322"/>
        </right>
        <top style="medium">
          <color theme="6" tint="0.39994506668294322"/>
        </top>
        <bottom style="medium">
          <color theme="6" tint="0.39994506668294322"/>
        </bottom>
      </border>
    </dxf>
    <dxf>
      <numFmt numFmtId="176" formatCode="&quot;₩&quot;#,##0.00_);[Red]\(&quot;₩&quot;#,##0.00\)"/>
      <fill>
        <patternFill patternType="solid">
          <fgColor indexed="64"/>
          <bgColor theme="6" tint="0.79998168889431442"/>
        </patternFill>
      </fill>
      <alignment horizontal="general" vertical="center" textRotation="0" wrapText="0" indent="0" justifyLastLine="0" shrinkToFit="0" readingOrder="0"/>
      <border diagonalUp="0" diagonalDown="0" outline="0">
        <left style="medium">
          <color theme="6" tint="0.39994506668294322"/>
        </left>
        <right style="medium">
          <color theme="6" tint="0.39994506668294322"/>
        </right>
        <top style="medium">
          <color theme="6" tint="0.39994506668294322"/>
        </top>
        <bottom/>
      </border>
    </dxf>
    <dxf>
      <font>
        <strike val="0"/>
        <outline val="0"/>
        <shadow val="0"/>
        <vertAlign val="baseline"/>
        <name val="Malgun Gothic"/>
        <family val="3"/>
        <charset val="129"/>
      </font>
      <numFmt numFmtId="176" formatCode="&quot;₩&quot;#,##0.00_);[Red]\(&quot;₩&quot;#,##0.00\)"/>
      <fill>
        <patternFill patternType="solid">
          <fgColor indexed="64"/>
          <bgColor theme="0"/>
        </patternFill>
      </fill>
      <alignment vertical="center" textRotation="0" wrapText="0" indent="0" justifyLastLine="0" shrinkToFit="0" readingOrder="0"/>
      <border diagonalUp="0" diagonalDown="0">
        <left style="medium">
          <color theme="6" tint="0.39994506668294322"/>
        </left>
        <right style="medium">
          <color theme="6" tint="0.39994506668294322"/>
        </right>
        <top style="medium">
          <color theme="6" tint="0.39994506668294322"/>
        </top>
        <bottom style="medium">
          <color theme="6" tint="0.39994506668294322"/>
        </bottom>
      </border>
    </dxf>
    <dxf>
      <numFmt numFmtId="176" formatCode="&quot;₩&quot;#,##0.00_);[Red]\(&quot;₩&quot;#,##0.00\)"/>
      <fill>
        <patternFill patternType="solid">
          <fgColor indexed="64"/>
          <bgColor theme="6" tint="0.79998168889431442"/>
        </patternFill>
      </fill>
      <alignment horizontal="general" vertical="center" textRotation="0" wrapText="0" indent="0" justifyLastLine="0" shrinkToFit="0" readingOrder="0"/>
      <border diagonalUp="0" diagonalDown="0" outline="0">
        <left style="medium">
          <color theme="6" tint="0.39994506668294322"/>
        </left>
        <right style="medium">
          <color theme="6" tint="0.39994506668294322"/>
        </right>
        <top style="medium">
          <color theme="6" tint="0.39994506668294322"/>
        </top>
        <bottom/>
      </border>
    </dxf>
    <dxf>
      <font>
        <strike val="0"/>
        <outline val="0"/>
        <shadow val="0"/>
        <vertAlign val="baseline"/>
        <name val="Malgun Gothic"/>
        <family val="3"/>
        <charset val="129"/>
      </font>
      <numFmt numFmtId="176" formatCode="&quot;₩&quot;#,##0.00_);[Red]\(&quot;₩&quot;#,##0.00\)"/>
      <fill>
        <patternFill patternType="solid">
          <fgColor indexed="64"/>
          <bgColor theme="0"/>
        </patternFill>
      </fill>
      <alignment vertical="center" textRotation="0" wrapText="0" indent="0" justifyLastLine="0" shrinkToFit="0" readingOrder="0"/>
      <border diagonalUp="0" diagonalDown="0">
        <left style="medium">
          <color theme="6" tint="0.39994506668294322"/>
        </left>
        <right style="medium">
          <color theme="6" tint="0.39994506668294322"/>
        </right>
        <top style="medium">
          <color theme="6" tint="0.39994506668294322"/>
        </top>
        <bottom style="medium">
          <color theme="6" tint="0.39994506668294322"/>
        </bottom>
      </border>
    </dxf>
    <dxf>
      <numFmt numFmtId="176" formatCode="&quot;₩&quot;#,##0.00_);[Red]\(&quot;₩&quot;#,##0.00\)"/>
      <fill>
        <patternFill patternType="solid">
          <fgColor indexed="64"/>
          <bgColor theme="6" tint="0.79998168889431442"/>
        </patternFill>
      </fill>
      <alignment horizontal="general" vertical="center" textRotation="0" wrapText="0" indent="0" justifyLastLine="0" shrinkToFit="0" readingOrder="0"/>
      <border diagonalUp="0" diagonalDown="0" outline="0">
        <left style="medium">
          <color theme="6" tint="0.39994506668294322"/>
        </left>
        <right style="medium">
          <color theme="6" tint="0.39994506668294322"/>
        </right>
        <top style="medium">
          <color theme="6" tint="0.39994506668294322"/>
        </top>
        <bottom/>
      </border>
    </dxf>
    <dxf>
      <font>
        <strike val="0"/>
        <outline val="0"/>
        <shadow val="0"/>
        <vertAlign val="baseline"/>
        <name val="Malgun Gothic"/>
        <family val="3"/>
        <charset val="129"/>
      </font>
      <numFmt numFmtId="176" formatCode="&quot;₩&quot;#,##0.00_);[Red]\(&quot;₩&quot;#,##0.00\)"/>
      <fill>
        <patternFill patternType="solid">
          <fgColor indexed="64"/>
          <bgColor theme="0"/>
        </patternFill>
      </fill>
      <alignment vertical="center" textRotation="0" wrapText="0" indent="0" justifyLastLine="0" shrinkToFit="0" readingOrder="0"/>
      <border diagonalUp="0" diagonalDown="0">
        <left style="medium">
          <color theme="6" tint="0.39994506668294322"/>
        </left>
        <right style="medium">
          <color theme="6" tint="0.39994506668294322"/>
        </right>
        <top style="medium">
          <color theme="6" tint="0.39994506668294322"/>
        </top>
        <bottom style="medium">
          <color theme="6" tint="0.39994506668294322"/>
        </bottom>
      </border>
    </dxf>
    <dxf>
      <numFmt numFmtId="176" formatCode="&quot;₩&quot;#,##0.00_);[Red]\(&quot;₩&quot;#,##0.00\)"/>
      <fill>
        <patternFill patternType="solid">
          <fgColor indexed="64"/>
          <bgColor theme="6" tint="0.79998168889431442"/>
        </patternFill>
      </fill>
      <alignment horizontal="general" vertical="center" textRotation="0" wrapText="0" indent="0" justifyLastLine="0" shrinkToFit="0" readingOrder="0"/>
      <border diagonalUp="0" diagonalDown="0" outline="0">
        <left style="medium">
          <color theme="6" tint="0.39994506668294322"/>
        </left>
        <right style="medium">
          <color theme="6" tint="0.39994506668294322"/>
        </right>
        <top style="medium">
          <color theme="6" tint="0.39994506668294322"/>
        </top>
        <bottom/>
      </border>
    </dxf>
    <dxf>
      <font>
        <strike val="0"/>
        <outline val="0"/>
        <shadow val="0"/>
        <vertAlign val="baseline"/>
        <name val="Malgun Gothic"/>
        <family val="3"/>
        <charset val="129"/>
      </font>
      <numFmt numFmtId="176" formatCode="&quot;₩&quot;#,##0.00_);[Red]\(&quot;₩&quot;#,##0.00\)"/>
      <fill>
        <patternFill patternType="solid">
          <fgColor indexed="64"/>
          <bgColor theme="0"/>
        </patternFill>
      </fill>
      <alignment vertical="center" textRotation="0" wrapText="0" indent="0" justifyLastLine="0" shrinkToFit="0" readingOrder="0"/>
      <border diagonalUp="0" diagonalDown="0">
        <left style="medium">
          <color theme="6" tint="0.39994506668294322"/>
        </left>
        <right style="medium">
          <color theme="6" tint="0.39994506668294322"/>
        </right>
        <top style="medium">
          <color theme="6" tint="0.39994506668294322"/>
        </top>
        <bottom style="medium">
          <color theme="6" tint="0.39994506668294322"/>
        </bottom>
      </border>
    </dxf>
    <dxf>
      <numFmt numFmtId="176" formatCode="&quot;₩&quot;#,##0.00_);[Red]\(&quot;₩&quot;#,##0.00\)"/>
      <fill>
        <patternFill patternType="solid">
          <fgColor indexed="64"/>
          <bgColor theme="6" tint="0.79998168889431442"/>
        </patternFill>
      </fill>
      <alignment horizontal="general" vertical="center" textRotation="0" wrapText="0" indent="0" justifyLastLine="0" shrinkToFit="0" readingOrder="0"/>
      <border diagonalUp="0" diagonalDown="0" outline="0">
        <left style="medium">
          <color theme="6" tint="0.39994506668294322"/>
        </left>
        <right style="medium">
          <color theme="6" tint="0.39994506668294322"/>
        </right>
        <top style="medium">
          <color theme="6" tint="0.39994506668294322"/>
        </top>
        <bottom/>
      </border>
    </dxf>
    <dxf>
      <font>
        <strike val="0"/>
        <outline val="0"/>
        <shadow val="0"/>
        <vertAlign val="baseline"/>
        <name val="Malgun Gothic"/>
        <family val="3"/>
        <charset val="129"/>
      </font>
      <numFmt numFmtId="176" formatCode="&quot;₩&quot;#,##0.00_);[Red]\(&quot;₩&quot;#,##0.00\)"/>
      <fill>
        <patternFill patternType="solid">
          <fgColor indexed="64"/>
          <bgColor theme="0"/>
        </patternFill>
      </fill>
      <alignment vertical="center" textRotation="0" wrapText="0" indent="0" justifyLastLine="0" shrinkToFit="0" readingOrder="0"/>
      <border diagonalUp="0" diagonalDown="0">
        <left style="medium">
          <color theme="6" tint="0.39994506668294322"/>
        </left>
        <right style="medium">
          <color theme="6" tint="0.39994506668294322"/>
        </right>
        <top style="medium">
          <color theme="6" tint="0.39994506668294322"/>
        </top>
        <bottom style="medium">
          <color theme="6" tint="0.39994506668294322"/>
        </bottom>
      </border>
    </dxf>
    <dxf>
      <numFmt numFmtId="176" formatCode="&quot;₩&quot;#,##0.00_);[Red]\(&quot;₩&quot;#,##0.00\)"/>
      <fill>
        <patternFill patternType="solid">
          <fgColor indexed="64"/>
          <bgColor theme="6" tint="0.79998168889431442"/>
        </patternFill>
      </fill>
      <alignment horizontal="general" vertical="center" textRotation="0" wrapText="0" indent="0" justifyLastLine="0" shrinkToFit="0" readingOrder="0"/>
      <border diagonalUp="0" diagonalDown="0" outline="0">
        <left style="medium">
          <color theme="6" tint="0.39994506668294322"/>
        </left>
        <right style="medium">
          <color theme="6" tint="0.39994506668294322"/>
        </right>
        <top style="medium">
          <color theme="6" tint="0.39994506668294322"/>
        </top>
        <bottom/>
      </border>
    </dxf>
    <dxf>
      <font>
        <strike val="0"/>
        <outline val="0"/>
        <shadow val="0"/>
        <vertAlign val="baseline"/>
        <name val="Malgun Gothic"/>
        <family val="3"/>
        <charset val="129"/>
      </font>
      <numFmt numFmtId="176" formatCode="&quot;₩&quot;#,##0.00_);[Red]\(&quot;₩&quot;#,##0.00\)"/>
      <fill>
        <patternFill patternType="solid">
          <fgColor indexed="64"/>
          <bgColor theme="0"/>
        </patternFill>
      </fill>
      <alignment vertical="center" textRotation="0" wrapText="0" indent="0" justifyLastLine="0" shrinkToFit="0" readingOrder="0"/>
      <border diagonalUp="0" diagonalDown="0">
        <left style="medium">
          <color theme="6" tint="0.39994506668294322"/>
        </left>
        <right style="medium">
          <color theme="6" tint="0.39994506668294322"/>
        </right>
        <top style="medium">
          <color theme="6" tint="0.39994506668294322"/>
        </top>
        <bottom style="medium">
          <color theme="6" tint="0.39994506668294322"/>
        </bottom>
      </border>
    </dxf>
    <dxf>
      <numFmt numFmtId="176" formatCode="&quot;₩&quot;#,##0.00_);[Red]\(&quot;₩&quot;#,##0.00\)"/>
      <fill>
        <patternFill patternType="solid">
          <fgColor indexed="64"/>
          <bgColor theme="6" tint="0.79998168889431442"/>
        </patternFill>
      </fill>
      <alignment horizontal="general" vertical="center" textRotation="0" wrapText="0" indent="0" justifyLastLine="0" shrinkToFit="0" readingOrder="0"/>
      <border diagonalUp="0" diagonalDown="0" outline="0">
        <left style="medium">
          <color theme="6" tint="0.39994506668294322"/>
        </left>
        <right style="medium">
          <color theme="6" tint="0.39994506668294322"/>
        </right>
        <top style="medium">
          <color theme="6" tint="0.39994506668294322"/>
        </top>
        <bottom/>
      </border>
    </dxf>
    <dxf>
      <font>
        <strike val="0"/>
        <outline val="0"/>
        <shadow val="0"/>
        <vertAlign val="baseline"/>
        <name val="Malgun Gothic"/>
        <family val="3"/>
        <charset val="129"/>
      </font>
      <numFmt numFmtId="176" formatCode="&quot;₩&quot;#,##0.00_);[Red]\(&quot;₩&quot;#,##0.00\)"/>
      <fill>
        <patternFill patternType="solid">
          <fgColor indexed="64"/>
          <bgColor theme="0"/>
        </patternFill>
      </fill>
      <alignment vertical="center" textRotation="0" wrapText="0" indent="0" justifyLastLine="0" shrinkToFit="0" readingOrder="0"/>
      <border diagonalUp="0" diagonalDown="0">
        <left style="medium">
          <color theme="6" tint="0.39994506668294322"/>
        </left>
        <right style="medium">
          <color theme="6" tint="0.39994506668294322"/>
        </right>
        <top style="medium">
          <color theme="6" tint="0.39994506668294322"/>
        </top>
        <bottom style="medium">
          <color theme="6" tint="0.39994506668294322"/>
        </bottom>
      </border>
    </dxf>
    <dxf>
      <numFmt numFmtId="176" formatCode="&quot;₩&quot;#,##0.00_);[Red]\(&quot;₩&quot;#,##0.00\)"/>
      <fill>
        <patternFill patternType="solid">
          <fgColor indexed="64"/>
          <bgColor theme="6" tint="0.79998168889431442"/>
        </patternFill>
      </fill>
      <alignment horizontal="general" vertical="center" textRotation="0" wrapText="0" indent="0" justifyLastLine="0" shrinkToFit="0" readingOrder="0"/>
      <border diagonalUp="0" diagonalDown="0" outline="0">
        <left style="medium">
          <color theme="6" tint="0.39994506668294322"/>
        </left>
        <right style="medium">
          <color theme="6" tint="0.39994506668294322"/>
        </right>
        <top style="medium">
          <color theme="6" tint="0.39994506668294322"/>
        </top>
        <bottom/>
      </border>
    </dxf>
    <dxf>
      <font>
        <strike val="0"/>
        <outline val="0"/>
        <shadow val="0"/>
        <vertAlign val="baseline"/>
        <name val="Malgun Gothic"/>
        <family val="3"/>
        <charset val="129"/>
      </font>
      <numFmt numFmtId="176" formatCode="&quot;₩&quot;#,##0.00_);[Red]\(&quot;₩&quot;#,##0.00\)"/>
      <fill>
        <patternFill patternType="solid">
          <fgColor indexed="64"/>
          <bgColor theme="0"/>
        </patternFill>
      </fill>
      <alignment vertical="center" textRotation="0" wrapText="0" indent="0" justifyLastLine="0" shrinkToFit="0" readingOrder="0"/>
      <border diagonalUp="0" diagonalDown="0">
        <left/>
        <right style="medium">
          <color theme="6" tint="0.39994506668294322"/>
        </right>
        <top style="medium">
          <color theme="6" tint="0.39994506668294322"/>
        </top>
        <bottom style="medium">
          <color theme="6" tint="0.3999450666829432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4659260841701"/>
        <name val="Malgun Gothic"/>
        <family val="3"/>
        <charset val="129"/>
        <scheme val="none"/>
      </font>
      <fill>
        <patternFill patternType="solid">
          <fgColor indexed="64"/>
          <bgColor theme="6" tint="0.79998168889431442"/>
        </patternFill>
      </fill>
      <alignment horizontal="left" vertical="center" textRotation="0" wrapText="0" indent="2" justifyLastLine="0" shrinkToFit="0" readingOrder="0"/>
      <border diagonalUp="0" diagonalDown="0" outline="0">
        <left/>
        <right style="medium">
          <color theme="6" tint="0.39994506668294322"/>
        </right>
        <top style="medium">
          <color theme="6" tint="0.39994506668294322"/>
        </top>
        <bottom/>
      </border>
    </dxf>
    <dxf>
      <font>
        <b/>
        <strike val="0"/>
        <outline val="0"/>
        <shadow val="0"/>
        <u val="none"/>
        <vertAlign val="baseline"/>
        <sz val="10"/>
        <color theme="0"/>
        <name val="Malgun Gothic"/>
        <family val="3"/>
        <charset val="129"/>
        <scheme val="minor"/>
      </font>
      <fill>
        <patternFill patternType="solid">
          <fgColor indexed="64"/>
          <bgColor theme="3"/>
        </patternFill>
      </fill>
      <alignment horizontal="left" vertical="center" textRotation="0" wrapText="0" relativeIndent="-1" justifyLastLine="0" shrinkToFit="0" readingOrder="0"/>
      <border diagonalUp="0" diagonalDown="0">
        <left/>
        <right style="medium">
          <color theme="6" tint="0.39994506668294322"/>
        </right>
        <top style="medium">
          <color theme="6" tint="0.39994506668294322"/>
        </top>
        <bottom style="medium">
          <color theme="6" tint="0.39994506668294322"/>
        </bottom>
      </border>
    </dxf>
    <dxf>
      <border>
        <top style="medium">
          <color theme="6" tint="0.39994506668294322"/>
        </top>
      </border>
    </dxf>
    <dxf>
      <font>
        <strike val="0"/>
        <outline val="0"/>
        <shadow val="0"/>
        <vertAlign val="baseline"/>
        <name val="Malgun Gothic"/>
        <family val="3"/>
        <charset val="129"/>
      </font>
      <fill>
        <patternFill patternType="solid">
          <fgColor indexed="64"/>
          <bgColor theme="6" tint="0.79998168889431442"/>
        </patternFill>
      </fill>
      <border diagonalUp="0" diagonalDown="0">
        <left style="medium">
          <color theme="6" tint="0.39994506668294322"/>
        </left>
        <right style="medium">
          <color theme="6" tint="0.39994506668294322"/>
        </right>
        <top/>
        <bottom/>
      </border>
    </dxf>
    <dxf>
      <border diagonalUp="0" diagonalDown="0">
        <left style="medium">
          <color theme="6" tint="0.39994506668294322"/>
        </left>
        <right style="medium">
          <color theme="6" tint="0.39994506668294322"/>
        </right>
        <top style="medium">
          <color theme="6" tint="0.39994506668294322"/>
        </top>
        <bottom style="medium">
          <color theme="6" tint="0.39994506668294322"/>
        </bottom>
      </border>
    </dxf>
    <dxf>
      <font>
        <strike val="0"/>
        <outline val="0"/>
        <shadow val="0"/>
        <vertAlign val="baseline"/>
        <name val="Malgun Gothic"/>
        <family val="3"/>
        <charset val="129"/>
      </font>
    </dxf>
    <dxf>
      <border>
        <bottom style="medium">
          <color theme="6" tint="0.39994506668294322"/>
        </bottom>
      </border>
    </dxf>
    <dxf>
      <font>
        <strike val="0"/>
        <outline val="0"/>
        <shadow val="0"/>
        <vertAlign val="baseline"/>
        <name val="Malgun Gothic"/>
        <family val="3"/>
        <charset val="129"/>
      </font>
      <border diagonalUp="0" diagonalDown="0">
        <left style="medium">
          <color theme="6" tint="0.39994506668294322"/>
        </left>
        <right style="medium">
          <color theme="6" tint="0.39994506668294322"/>
        </right>
        <top/>
        <bottom/>
        <vertical style="medium">
          <color theme="6" tint="0.39994506668294322"/>
        </vertical>
        <horizontal style="medium">
          <color theme="6" tint="0.39994506668294322"/>
        </horizontal>
      </border>
    </dxf>
    <dxf>
      <numFmt numFmtId="176" formatCode="&quot;₩&quot;#,##0.00_);[Red]\(&quot;₩&quot;#,##0.00\)"/>
      <fill>
        <patternFill patternType="solid">
          <fgColor indexed="64"/>
          <bgColor theme="6" tint="0.79998168889431442"/>
        </patternFill>
      </fill>
      <alignment horizontal="general" vertical="center" textRotation="0" wrapText="0" indent="0" justifyLastLine="0" shrinkToFit="0" readingOrder="0"/>
      <border diagonalUp="0" diagonalDown="0" outline="0">
        <left style="medium">
          <color theme="6" tint="0.39994506668294322"/>
        </left>
        <right/>
        <top style="medium">
          <color theme="6" tint="0.39994506668294322"/>
        </top>
        <bottom/>
      </border>
    </dxf>
    <dxf>
      <font>
        <strike val="0"/>
        <outline val="0"/>
        <shadow val="0"/>
        <vertAlign val="baseline"/>
        <name val="Malgun Gothic"/>
        <family val="3"/>
        <charset val="129"/>
      </font>
      <numFmt numFmtId="176" formatCode="&quot;₩&quot;#,##0.00_);[Red]\(&quot;₩&quot;#,##0.00\)"/>
      <fill>
        <patternFill patternType="solid">
          <fgColor indexed="64"/>
          <bgColor theme="6" tint="0.79998168889431442"/>
        </patternFill>
      </fill>
      <alignment vertical="center" textRotation="0" wrapText="0" indent="0" justifyLastLine="0" shrinkToFit="0" readingOrder="0"/>
      <border diagonalUp="0" diagonalDown="0">
        <left style="medium">
          <color theme="6" tint="0.39994506668294322"/>
        </left>
        <right/>
        <top style="medium">
          <color theme="6" tint="0.39994506668294322"/>
        </top>
        <bottom style="medium">
          <color theme="6" tint="0.39994506668294322"/>
        </bottom>
      </border>
    </dxf>
    <dxf>
      <numFmt numFmtId="176" formatCode="&quot;₩&quot;#,##0.00_);[Red]\(&quot;₩&quot;#,##0.00\)"/>
      <fill>
        <patternFill patternType="solid">
          <fgColor indexed="64"/>
          <bgColor theme="6" tint="0.79998168889431442"/>
        </patternFill>
      </fill>
      <alignment horizontal="general" vertical="center" textRotation="0" wrapText="0" indent="0" justifyLastLine="0" shrinkToFit="0" readingOrder="0"/>
      <border diagonalUp="0" diagonalDown="0" outline="0">
        <left style="medium">
          <color theme="6" tint="0.39994506668294322"/>
        </left>
        <right style="medium">
          <color theme="6" tint="0.39994506668294322"/>
        </right>
        <top style="medium">
          <color theme="6" tint="0.39994506668294322"/>
        </top>
        <bottom/>
      </border>
    </dxf>
    <dxf>
      <font>
        <strike val="0"/>
        <outline val="0"/>
        <shadow val="0"/>
        <vertAlign val="baseline"/>
        <name val="Malgun Gothic"/>
        <family val="3"/>
        <charset val="129"/>
      </font>
      <numFmt numFmtId="176" formatCode="&quot;₩&quot;#,##0.00_);[Red]\(&quot;₩&quot;#,##0.00\)"/>
      <fill>
        <patternFill patternType="solid">
          <fgColor indexed="64"/>
          <bgColor theme="0"/>
        </patternFill>
      </fill>
      <alignment vertical="center" textRotation="0" wrapText="0" indent="0" justifyLastLine="0" shrinkToFit="0" readingOrder="0"/>
      <border diagonalUp="0" diagonalDown="0">
        <left style="medium">
          <color theme="6" tint="0.39994506668294322"/>
        </left>
        <right style="medium">
          <color theme="6" tint="0.39994506668294322"/>
        </right>
        <top style="medium">
          <color theme="6" tint="0.39994506668294322"/>
        </top>
        <bottom style="medium">
          <color theme="6" tint="0.39994506668294322"/>
        </bottom>
      </border>
    </dxf>
    <dxf>
      <numFmt numFmtId="176" formatCode="&quot;₩&quot;#,##0.00_);[Red]\(&quot;₩&quot;#,##0.00\)"/>
      <fill>
        <patternFill patternType="solid">
          <fgColor indexed="64"/>
          <bgColor theme="6" tint="0.79998168889431442"/>
        </patternFill>
      </fill>
      <alignment horizontal="general" vertical="center" textRotation="0" wrapText="0" indent="0" justifyLastLine="0" shrinkToFit="0" readingOrder="0"/>
      <border diagonalUp="0" diagonalDown="0" outline="0">
        <left style="medium">
          <color theme="6" tint="0.39994506668294322"/>
        </left>
        <right style="medium">
          <color theme="6" tint="0.39994506668294322"/>
        </right>
        <top style="medium">
          <color theme="6" tint="0.39994506668294322"/>
        </top>
        <bottom/>
      </border>
    </dxf>
    <dxf>
      <font>
        <strike val="0"/>
        <outline val="0"/>
        <shadow val="0"/>
        <vertAlign val="baseline"/>
        <name val="Malgun Gothic"/>
        <family val="3"/>
        <charset val="129"/>
      </font>
      <numFmt numFmtId="176" formatCode="&quot;₩&quot;#,##0.00_);[Red]\(&quot;₩&quot;#,##0.00\)"/>
      <fill>
        <patternFill patternType="solid">
          <fgColor indexed="64"/>
          <bgColor theme="0"/>
        </patternFill>
      </fill>
      <alignment vertical="center" textRotation="0" wrapText="0" indent="0" justifyLastLine="0" shrinkToFit="0" readingOrder="0"/>
      <border diagonalUp="0" diagonalDown="0">
        <left style="medium">
          <color theme="6" tint="0.39994506668294322"/>
        </left>
        <right style="medium">
          <color theme="6" tint="0.39994506668294322"/>
        </right>
        <top style="medium">
          <color theme="6" tint="0.39994506668294322"/>
        </top>
        <bottom style="medium">
          <color theme="6" tint="0.39994506668294322"/>
        </bottom>
      </border>
    </dxf>
    <dxf>
      <numFmt numFmtId="176" formatCode="&quot;₩&quot;#,##0.00_);[Red]\(&quot;₩&quot;#,##0.00\)"/>
      <fill>
        <patternFill patternType="solid">
          <fgColor indexed="64"/>
          <bgColor theme="6" tint="0.79998168889431442"/>
        </patternFill>
      </fill>
      <alignment horizontal="general" vertical="center" textRotation="0" wrapText="0" indent="0" justifyLastLine="0" shrinkToFit="0" readingOrder="0"/>
      <border diagonalUp="0" diagonalDown="0" outline="0">
        <left style="medium">
          <color theme="6" tint="0.39994506668294322"/>
        </left>
        <right style="medium">
          <color theme="6" tint="0.39994506668294322"/>
        </right>
        <top style="medium">
          <color theme="6" tint="0.39994506668294322"/>
        </top>
        <bottom/>
      </border>
    </dxf>
    <dxf>
      <font>
        <strike val="0"/>
        <outline val="0"/>
        <shadow val="0"/>
        <vertAlign val="baseline"/>
        <name val="Malgun Gothic"/>
        <family val="3"/>
        <charset val="129"/>
      </font>
      <numFmt numFmtId="176" formatCode="&quot;₩&quot;#,##0.00_);[Red]\(&quot;₩&quot;#,##0.00\)"/>
      <fill>
        <patternFill patternType="solid">
          <fgColor indexed="64"/>
          <bgColor theme="0"/>
        </patternFill>
      </fill>
      <alignment vertical="center" textRotation="0" wrapText="0" indent="0" justifyLastLine="0" shrinkToFit="0" readingOrder="0"/>
      <border diagonalUp="0" diagonalDown="0">
        <left style="medium">
          <color theme="6" tint="0.39994506668294322"/>
        </left>
        <right style="medium">
          <color theme="6" tint="0.39994506668294322"/>
        </right>
        <top style="medium">
          <color theme="6" tint="0.39994506668294322"/>
        </top>
        <bottom style="medium">
          <color theme="6" tint="0.39994506668294322"/>
        </bottom>
      </border>
    </dxf>
    <dxf>
      <numFmt numFmtId="176" formatCode="&quot;₩&quot;#,##0.00_);[Red]\(&quot;₩&quot;#,##0.00\)"/>
      <fill>
        <patternFill patternType="solid">
          <fgColor indexed="64"/>
          <bgColor theme="6" tint="0.79998168889431442"/>
        </patternFill>
      </fill>
      <alignment horizontal="general" vertical="center" textRotation="0" wrapText="0" indent="0" justifyLastLine="0" shrinkToFit="0" readingOrder="0"/>
      <border diagonalUp="0" diagonalDown="0" outline="0">
        <left style="medium">
          <color theme="6" tint="0.39994506668294322"/>
        </left>
        <right style="medium">
          <color theme="6" tint="0.39994506668294322"/>
        </right>
        <top style="medium">
          <color theme="6" tint="0.39994506668294322"/>
        </top>
        <bottom/>
      </border>
    </dxf>
    <dxf>
      <font>
        <strike val="0"/>
        <outline val="0"/>
        <shadow val="0"/>
        <vertAlign val="baseline"/>
        <name val="Malgun Gothic"/>
        <family val="3"/>
        <charset val="129"/>
      </font>
      <numFmt numFmtId="176" formatCode="&quot;₩&quot;#,##0.00_);[Red]\(&quot;₩&quot;#,##0.00\)"/>
      <fill>
        <patternFill patternType="solid">
          <fgColor indexed="64"/>
          <bgColor theme="0"/>
        </patternFill>
      </fill>
      <alignment vertical="center" textRotation="0" wrapText="0" indent="0" justifyLastLine="0" shrinkToFit="0" readingOrder="0"/>
      <border diagonalUp="0" diagonalDown="0">
        <left style="medium">
          <color theme="6" tint="0.39994506668294322"/>
        </left>
        <right style="medium">
          <color theme="6" tint="0.39994506668294322"/>
        </right>
        <top style="medium">
          <color theme="6" tint="0.39994506668294322"/>
        </top>
        <bottom style="medium">
          <color theme="6" tint="0.39994506668294322"/>
        </bottom>
      </border>
    </dxf>
    <dxf>
      <numFmt numFmtId="176" formatCode="&quot;₩&quot;#,##0.00_);[Red]\(&quot;₩&quot;#,##0.00\)"/>
      <fill>
        <patternFill patternType="solid">
          <fgColor indexed="64"/>
          <bgColor theme="6" tint="0.79998168889431442"/>
        </patternFill>
      </fill>
      <alignment horizontal="general" vertical="center" textRotation="0" wrapText="0" indent="0" justifyLastLine="0" shrinkToFit="0" readingOrder="0"/>
      <border diagonalUp="0" diagonalDown="0" outline="0">
        <left style="medium">
          <color theme="6" tint="0.39994506668294322"/>
        </left>
        <right style="medium">
          <color theme="6" tint="0.39994506668294322"/>
        </right>
        <top style="medium">
          <color theme="6" tint="0.39994506668294322"/>
        </top>
        <bottom/>
      </border>
    </dxf>
    <dxf>
      <font>
        <strike val="0"/>
        <outline val="0"/>
        <shadow val="0"/>
        <vertAlign val="baseline"/>
        <name val="Malgun Gothic"/>
        <family val="3"/>
        <charset val="129"/>
      </font>
      <numFmt numFmtId="176" formatCode="&quot;₩&quot;#,##0.00_);[Red]\(&quot;₩&quot;#,##0.00\)"/>
      <fill>
        <patternFill patternType="solid">
          <fgColor indexed="64"/>
          <bgColor theme="0"/>
        </patternFill>
      </fill>
      <alignment vertical="center" textRotation="0" wrapText="0" indent="0" justifyLastLine="0" shrinkToFit="0" readingOrder="0"/>
      <border diagonalUp="0" diagonalDown="0">
        <left style="medium">
          <color theme="6" tint="0.39994506668294322"/>
        </left>
        <right style="medium">
          <color theme="6" tint="0.39994506668294322"/>
        </right>
        <top style="medium">
          <color theme="6" tint="0.39994506668294322"/>
        </top>
        <bottom style="medium">
          <color theme="6" tint="0.39994506668294322"/>
        </bottom>
      </border>
    </dxf>
    <dxf>
      <numFmt numFmtId="176" formatCode="&quot;₩&quot;#,##0.00_);[Red]\(&quot;₩&quot;#,##0.00\)"/>
      <fill>
        <patternFill patternType="solid">
          <fgColor indexed="64"/>
          <bgColor theme="6" tint="0.79998168889431442"/>
        </patternFill>
      </fill>
      <alignment horizontal="general" vertical="center" textRotation="0" wrapText="0" indent="0" justifyLastLine="0" shrinkToFit="0" readingOrder="0"/>
      <border diagonalUp="0" diagonalDown="0" outline="0">
        <left style="medium">
          <color theme="6" tint="0.39994506668294322"/>
        </left>
        <right style="medium">
          <color theme="6" tint="0.39994506668294322"/>
        </right>
        <top style="medium">
          <color theme="6" tint="0.39994506668294322"/>
        </top>
        <bottom/>
      </border>
    </dxf>
    <dxf>
      <font>
        <strike val="0"/>
        <outline val="0"/>
        <shadow val="0"/>
        <vertAlign val="baseline"/>
        <name val="Malgun Gothic"/>
        <family val="3"/>
        <charset val="129"/>
      </font>
      <numFmt numFmtId="176" formatCode="&quot;₩&quot;#,##0.00_);[Red]\(&quot;₩&quot;#,##0.00\)"/>
      <fill>
        <patternFill patternType="solid">
          <fgColor indexed="64"/>
          <bgColor theme="0"/>
        </patternFill>
      </fill>
      <alignment vertical="center" textRotation="0" wrapText="0" indent="0" justifyLastLine="0" shrinkToFit="0" readingOrder="0"/>
      <border diagonalUp="0" diagonalDown="0">
        <left style="medium">
          <color theme="6" tint="0.39994506668294322"/>
        </left>
        <right style="medium">
          <color theme="6" tint="0.39994506668294322"/>
        </right>
        <top style="medium">
          <color theme="6" tint="0.39994506668294322"/>
        </top>
        <bottom style="medium">
          <color theme="6" tint="0.39994506668294322"/>
        </bottom>
      </border>
    </dxf>
    <dxf>
      <numFmt numFmtId="176" formatCode="&quot;₩&quot;#,##0.00_);[Red]\(&quot;₩&quot;#,##0.00\)"/>
      <fill>
        <patternFill patternType="solid">
          <fgColor indexed="64"/>
          <bgColor theme="6" tint="0.79998168889431442"/>
        </patternFill>
      </fill>
      <alignment horizontal="general" vertical="center" textRotation="0" wrapText="0" indent="0" justifyLastLine="0" shrinkToFit="0" readingOrder="0"/>
      <border diagonalUp="0" diagonalDown="0" outline="0">
        <left style="medium">
          <color theme="6" tint="0.39994506668294322"/>
        </left>
        <right style="medium">
          <color theme="6" tint="0.39994506668294322"/>
        </right>
        <top style="medium">
          <color theme="6" tint="0.39994506668294322"/>
        </top>
        <bottom/>
      </border>
    </dxf>
    <dxf>
      <font>
        <strike val="0"/>
        <outline val="0"/>
        <shadow val="0"/>
        <vertAlign val="baseline"/>
        <name val="Malgun Gothic"/>
        <family val="3"/>
        <charset val="129"/>
      </font>
      <numFmt numFmtId="176" formatCode="&quot;₩&quot;#,##0.00_);[Red]\(&quot;₩&quot;#,##0.00\)"/>
      <fill>
        <patternFill patternType="solid">
          <fgColor indexed="64"/>
          <bgColor theme="0"/>
        </patternFill>
      </fill>
      <alignment vertical="center" textRotation="0" wrapText="0" indent="0" justifyLastLine="0" shrinkToFit="0" readingOrder="0"/>
      <border diagonalUp="0" diagonalDown="0">
        <left style="medium">
          <color theme="6" tint="0.39994506668294322"/>
        </left>
        <right style="medium">
          <color theme="6" tint="0.39994506668294322"/>
        </right>
        <top style="medium">
          <color theme="6" tint="0.39994506668294322"/>
        </top>
        <bottom style="medium">
          <color theme="6" tint="0.39994506668294322"/>
        </bottom>
      </border>
    </dxf>
    <dxf>
      <numFmt numFmtId="176" formatCode="&quot;₩&quot;#,##0.00_);[Red]\(&quot;₩&quot;#,##0.00\)"/>
      <fill>
        <patternFill patternType="solid">
          <fgColor indexed="64"/>
          <bgColor theme="6" tint="0.79998168889431442"/>
        </patternFill>
      </fill>
      <alignment horizontal="general" vertical="center" textRotation="0" wrapText="0" indent="0" justifyLastLine="0" shrinkToFit="0" readingOrder="0"/>
      <border diagonalUp="0" diagonalDown="0" outline="0">
        <left style="medium">
          <color theme="6" tint="0.39994506668294322"/>
        </left>
        <right style="medium">
          <color theme="6" tint="0.39994506668294322"/>
        </right>
        <top style="medium">
          <color theme="6" tint="0.39994506668294322"/>
        </top>
        <bottom/>
      </border>
    </dxf>
    <dxf>
      <font>
        <strike val="0"/>
        <outline val="0"/>
        <shadow val="0"/>
        <vertAlign val="baseline"/>
        <name val="Malgun Gothic"/>
        <family val="3"/>
        <charset val="129"/>
      </font>
      <numFmt numFmtId="176" formatCode="&quot;₩&quot;#,##0.00_);[Red]\(&quot;₩&quot;#,##0.00\)"/>
      <fill>
        <patternFill patternType="solid">
          <fgColor indexed="64"/>
          <bgColor theme="0"/>
        </patternFill>
      </fill>
      <alignment vertical="center" textRotation="0" wrapText="0" indent="0" justifyLastLine="0" shrinkToFit="0" readingOrder="0"/>
      <border diagonalUp="0" diagonalDown="0">
        <left style="medium">
          <color theme="6" tint="0.39994506668294322"/>
        </left>
        <right style="medium">
          <color theme="6" tint="0.39994506668294322"/>
        </right>
        <top style="medium">
          <color theme="6" tint="0.39994506668294322"/>
        </top>
        <bottom style="medium">
          <color theme="6" tint="0.39994506668294322"/>
        </bottom>
      </border>
    </dxf>
    <dxf>
      <numFmt numFmtId="176" formatCode="&quot;₩&quot;#,##0.00_);[Red]\(&quot;₩&quot;#,##0.00\)"/>
      <fill>
        <patternFill patternType="solid">
          <fgColor indexed="64"/>
          <bgColor theme="6" tint="0.79998168889431442"/>
        </patternFill>
      </fill>
      <alignment horizontal="general" vertical="center" textRotation="0" wrapText="0" indent="0" justifyLastLine="0" shrinkToFit="0" readingOrder="0"/>
      <border diagonalUp="0" diagonalDown="0" outline="0">
        <left style="medium">
          <color theme="6" tint="0.39994506668294322"/>
        </left>
        <right style="medium">
          <color theme="6" tint="0.39994506668294322"/>
        </right>
        <top style="medium">
          <color theme="6" tint="0.39994506668294322"/>
        </top>
        <bottom/>
      </border>
    </dxf>
    <dxf>
      <font>
        <strike val="0"/>
        <outline val="0"/>
        <shadow val="0"/>
        <vertAlign val="baseline"/>
        <name val="Malgun Gothic"/>
        <family val="3"/>
        <charset val="129"/>
      </font>
      <numFmt numFmtId="176" formatCode="&quot;₩&quot;#,##0.00_);[Red]\(&quot;₩&quot;#,##0.00\)"/>
      <fill>
        <patternFill patternType="solid">
          <fgColor indexed="64"/>
          <bgColor theme="0"/>
        </patternFill>
      </fill>
      <alignment vertical="center" textRotation="0" wrapText="0" indent="0" justifyLastLine="0" shrinkToFit="0" readingOrder="0"/>
      <border diagonalUp="0" diagonalDown="0">
        <left style="medium">
          <color theme="6" tint="0.39994506668294322"/>
        </left>
        <right style="medium">
          <color theme="6" tint="0.39994506668294322"/>
        </right>
        <top style="medium">
          <color theme="6" tint="0.39994506668294322"/>
        </top>
        <bottom style="medium">
          <color theme="6" tint="0.39994506668294322"/>
        </bottom>
      </border>
    </dxf>
    <dxf>
      <numFmt numFmtId="176" formatCode="&quot;₩&quot;#,##0.00_);[Red]\(&quot;₩&quot;#,##0.00\)"/>
      <fill>
        <patternFill patternType="solid">
          <fgColor indexed="64"/>
          <bgColor theme="6" tint="0.79998168889431442"/>
        </patternFill>
      </fill>
      <alignment horizontal="general" vertical="center" textRotation="0" wrapText="0" indent="0" justifyLastLine="0" shrinkToFit="0" readingOrder="0"/>
      <border diagonalUp="0" diagonalDown="0" outline="0">
        <left style="medium">
          <color theme="6" tint="0.39994506668294322"/>
        </left>
        <right style="medium">
          <color theme="6" tint="0.39994506668294322"/>
        </right>
        <top style="medium">
          <color theme="6" tint="0.39994506668294322"/>
        </top>
        <bottom/>
      </border>
    </dxf>
    <dxf>
      <font>
        <strike val="0"/>
        <outline val="0"/>
        <shadow val="0"/>
        <vertAlign val="baseline"/>
        <name val="Malgun Gothic"/>
        <family val="3"/>
        <charset val="129"/>
      </font>
      <numFmt numFmtId="176" formatCode="&quot;₩&quot;#,##0.00_);[Red]\(&quot;₩&quot;#,##0.00\)"/>
      <fill>
        <patternFill patternType="solid">
          <fgColor indexed="64"/>
          <bgColor theme="0"/>
        </patternFill>
      </fill>
      <alignment vertical="center" textRotation="0" wrapText="0" indent="0" justifyLastLine="0" shrinkToFit="0" readingOrder="0"/>
      <border diagonalUp="0" diagonalDown="0">
        <left style="medium">
          <color theme="6" tint="0.39994506668294322"/>
        </left>
        <right style="medium">
          <color theme="6" tint="0.39994506668294322"/>
        </right>
        <top style="medium">
          <color theme="6" tint="0.39994506668294322"/>
        </top>
        <bottom style="medium">
          <color theme="6" tint="0.39994506668294322"/>
        </bottom>
      </border>
    </dxf>
    <dxf>
      <numFmt numFmtId="176" formatCode="&quot;₩&quot;#,##0.00_);[Red]\(&quot;₩&quot;#,##0.00\)"/>
      <fill>
        <patternFill patternType="solid">
          <fgColor indexed="64"/>
          <bgColor theme="6" tint="0.79998168889431442"/>
        </patternFill>
      </fill>
      <alignment horizontal="general" vertical="center" textRotation="0" wrapText="0" indent="0" justifyLastLine="0" shrinkToFit="0" readingOrder="0"/>
      <border diagonalUp="0" diagonalDown="0" outline="0">
        <left style="medium">
          <color theme="6" tint="0.39994506668294322"/>
        </left>
        <right style="medium">
          <color theme="6" tint="0.39994506668294322"/>
        </right>
        <top style="medium">
          <color theme="6" tint="0.39994506668294322"/>
        </top>
        <bottom/>
      </border>
    </dxf>
    <dxf>
      <font>
        <strike val="0"/>
        <outline val="0"/>
        <shadow val="0"/>
        <vertAlign val="baseline"/>
        <name val="Malgun Gothic"/>
        <family val="3"/>
        <charset val="129"/>
      </font>
      <numFmt numFmtId="176" formatCode="&quot;₩&quot;#,##0.00_);[Red]\(&quot;₩&quot;#,##0.00\)"/>
      <fill>
        <patternFill patternType="solid">
          <fgColor indexed="64"/>
          <bgColor theme="0"/>
        </patternFill>
      </fill>
      <alignment vertical="center" textRotation="0" wrapText="0" indent="0" justifyLastLine="0" shrinkToFit="0" readingOrder="0"/>
      <border diagonalUp="0" diagonalDown="0">
        <left style="medium">
          <color theme="6" tint="0.39994506668294322"/>
        </left>
        <right style="medium">
          <color theme="6" tint="0.39994506668294322"/>
        </right>
        <top style="medium">
          <color theme="6" tint="0.39994506668294322"/>
        </top>
        <bottom style="medium">
          <color theme="6" tint="0.3999450666829432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Malgun Gothic"/>
        <family val="3"/>
        <charset val="129"/>
        <scheme val="none"/>
      </font>
      <numFmt numFmtId="176" formatCode="&quot;₩&quot;#,##0.00_);[Red]\(&quot;₩&quot;#,##0.00\)"/>
      <fill>
        <patternFill patternType="solid">
          <fgColor indexed="64"/>
          <bgColor theme="6" tint="0.79998168889431442"/>
        </patternFill>
      </fill>
      <alignment horizontal="general" vertical="center" textRotation="0" wrapText="0" indent="0" justifyLastLine="0" shrinkToFit="0" readingOrder="0"/>
      <border diagonalUp="0" diagonalDown="0" outline="0">
        <left style="medium">
          <color theme="6" tint="0.39994506668294322"/>
        </left>
        <right style="medium">
          <color theme="6" tint="0.39994506668294322"/>
        </right>
        <top style="medium">
          <color theme="6" tint="0.39994506668294322"/>
        </top>
        <bottom/>
      </border>
    </dxf>
    <dxf>
      <font>
        <strike val="0"/>
        <outline val="0"/>
        <shadow val="0"/>
        <vertAlign val="baseline"/>
        <name val="Malgun Gothic"/>
        <family val="3"/>
        <charset val="129"/>
      </font>
      <numFmt numFmtId="176" formatCode="&quot;₩&quot;#,##0.00_);[Red]\(&quot;₩&quot;#,##0.00\)"/>
      <fill>
        <patternFill patternType="solid">
          <fgColor indexed="64"/>
          <bgColor theme="0"/>
        </patternFill>
      </fill>
      <alignment vertical="center" textRotation="0" wrapText="0" indent="0" justifyLastLine="0" shrinkToFit="0" readingOrder="0"/>
      <border diagonalUp="0" diagonalDown="0">
        <left/>
        <right style="medium">
          <color theme="6" tint="0.39994506668294322"/>
        </right>
        <top style="medium">
          <color theme="6" tint="0.39994506668294322"/>
        </top>
        <bottom style="medium">
          <color theme="6" tint="0.39994506668294322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Malgun Gothic"/>
        <family val="3"/>
        <charset val="129"/>
        <scheme val="none"/>
      </font>
      <fill>
        <patternFill patternType="solid">
          <fgColor indexed="64"/>
          <bgColor theme="6" tint="0.79998168889431442"/>
        </patternFill>
      </fill>
      <alignment horizontal="left" vertical="center" textRotation="0" wrapText="0" indent="1" justifyLastLine="0" shrinkToFit="0" readingOrder="0"/>
      <border diagonalUp="0" diagonalDown="0" outline="0">
        <left/>
        <right style="medium">
          <color theme="6" tint="0.39994506668294322"/>
        </right>
        <top style="medium">
          <color theme="6" tint="0.39994506668294322"/>
        </top>
        <bottom/>
      </border>
    </dxf>
    <dxf>
      <font>
        <b/>
        <strike val="0"/>
        <outline val="0"/>
        <shadow val="0"/>
        <u val="none"/>
        <vertAlign val="baseline"/>
        <sz val="10"/>
        <color theme="0"/>
        <name val="Malgun Gothic"/>
        <family val="3"/>
        <charset val="129"/>
        <scheme val="minor"/>
      </font>
      <fill>
        <patternFill patternType="solid">
          <fgColor indexed="64"/>
          <bgColor theme="3"/>
        </patternFill>
      </fill>
      <alignment horizontal="left" vertical="center" textRotation="0" wrapText="0" relativeIndent="-1" justifyLastLine="0" shrinkToFit="0" readingOrder="0"/>
      <border diagonalUp="0" diagonalDown="0">
        <left/>
        <right style="medium">
          <color theme="6" tint="0.39994506668294322"/>
        </right>
        <top style="medium">
          <color theme="6" tint="0.39994506668294322"/>
        </top>
        <bottom style="medium">
          <color theme="6" tint="0.39994506668294322"/>
        </bottom>
      </border>
    </dxf>
    <dxf>
      <border>
        <top style="medium">
          <color theme="6" tint="0.39994506668294322"/>
        </top>
      </border>
    </dxf>
    <dxf>
      <font>
        <strike val="0"/>
        <outline val="0"/>
        <shadow val="0"/>
        <vertAlign val="baseline"/>
        <name val="Malgun Gothic"/>
        <family val="3"/>
        <charset val="129"/>
      </font>
      <fill>
        <patternFill patternType="solid">
          <fgColor indexed="64"/>
          <bgColor theme="6" tint="0.79998168889431442"/>
        </patternFill>
      </fill>
      <border diagonalUp="0" diagonalDown="0">
        <left style="medium">
          <color theme="6" tint="0.39994506668294322"/>
        </left>
        <right style="medium">
          <color theme="6" tint="0.39994506668294322"/>
        </right>
        <top/>
        <bottom/>
      </border>
    </dxf>
    <dxf>
      <border diagonalUp="0" diagonalDown="0">
        <left style="medium">
          <color theme="6" tint="0.39994506668294322"/>
        </left>
        <right style="medium">
          <color theme="6" tint="0.39994506668294322"/>
        </right>
        <top style="medium">
          <color theme="6" tint="0.39994506668294322"/>
        </top>
        <bottom style="medium">
          <color theme="6" tint="0.39994506668294322"/>
        </bottom>
      </border>
    </dxf>
    <dxf>
      <font>
        <strike val="0"/>
        <outline val="0"/>
        <shadow val="0"/>
        <vertAlign val="baseline"/>
        <name val="Malgun Gothic"/>
        <family val="3"/>
        <charset val="129"/>
      </font>
    </dxf>
    <dxf>
      <border>
        <bottom style="medium">
          <color theme="6" tint="0.39994506668294322"/>
        </bottom>
      </border>
    </dxf>
    <dxf>
      <font>
        <strike val="0"/>
        <outline val="0"/>
        <shadow val="0"/>
        <vertAlign val="baseline"/>
        <name val="Malgun Gothic"/>
        <family val="3"/>
        <charset val="129"/>
      </font>
      <border diagonalUp="0" diagonalDown="0">
        <left style="medium">
          <color theme="6" tint="0.39994506668294322"/>
        </left>
        <right style="medium">
          <color theme="6" tint="0.39994506668294322"/>
        </right>
        <top/>
        <bottom/>
        <vertical style="medium">
          <color theme="6" tint="0.39994506668294322"/>
        </vertical>
        <horizontal style="medium">
          <color theme="6" tint="0.39994506668294322"/>
        </horizontal>
      </border>
    </dxf>
    <dxf>
      <font>
        <strike val="0"/>
        <outline val="0"/>
        <shadow val="0"/>
        <vertAlign val="baseline"/>
        <name val="Malgun Gothic"/>
        <family val="3"/>
        <charset val="129"/>
      </font>
    </dxf>
    <dxf>
      <font>
        <b val="0"/>
        <strike val="0"/>
        <outline val="0"/>
        <shadow val="0"/>
        <vertAlign val="baseline"/>
        <name val="Malgun Gothic"/>
        <family val="3"/>
        <charset val="129"/>
      </font>
      <numFmt numFmtId="176" formatCode="&quot;₩&quot;#,##0.00_);[Red]\(&quot;₩&quot;#,##0.00\)"/>
      <fill>
        <patternFill patternType="solid">
          <fgColor indexed="64"/>
          <bgColor theme="6" tint="0.79998168889431442"/>
        </patternFill>
      </fill>
      <border diagonalUp="0" diagonalDown="0">
        <left style="medium">
          <color theme="6" tint="0.39994506668294322"/>
        </left>
        <right/>
        <top style="medium">
          <color theme="6" tint="0.39994506668294322"/>
        </top>
        <bottom style="medium">
          <color theme="6" tint="0.39994506668294322"/>
        </bottom>
      </border>
    </dxf>
    <dxf>
      <font>
        <strike val="0"/>
        <outline val="0"/>
        <shadow val="0"/>
        <vertAlign val="baseline"/>
        <name val="Malgun Gothic"/>
        <family val="3"/>
        <charset val="129"/>
      </font>
    </dxf>
    <dxf>
      <font>
        <strike val="0"/>
        <outline val="0"/>
        <shadow val="0"/>
        <vertAlign val="baseline"/>
        <name val="Malgun Gothic"/>
        <family val="3"/>
        <charset val="129"/>
      </font>
      <numFmt numFmtId="176" formatCode="&quot;₩&quot;#,##0.00_);[Red]\(&quot;₩&quot;#,##0.00\)"/>
    </dxf>
    <dxf>
      <font>
        <strike val="0"/>
        <outline val="0"/>
        <shadow val="0"/>
        <vertAlign val="baseline"/>
        <name val="Malgun Gothic"/>
        <family val="3"/>
        <charset val="129"/>
      </font>
    </dxf>
    <dxf>
      <font>
        <strike val="0"/>
        <outline val="0"/>
        <shadow val="0"/>
        <vertAlign val="baseline"/>
        <name val="Malgun Gothic"/>
        <family val="3"/>
        <charset val="129"/>
      </font>
      <numFmt numFmtId="176" formatCode="&quot;₩&quot;#,##0.00_);[Red]\(&quot;₩&quot;#,##0.00\)"/>
    </dxf>
    <dxf>
      <font>
        <strike val="0"/>
        <outline val="0"/>
        <shadow val="0"/>
        <vertAlign val="baseline"/>
        <name val="Malgun Gothic"/>
        <family val="3"/>
        <charset val="129"/>
      </font>
    </dxf>
    <dxf>
      <font>
        <strike val="0"/>
        <outline val="0"/>
        <shadow val="0"/>
        <vertAlign val="baseline"/>
        <name val="Malgun Gothic"/>
        <family val="3"/>
        <charset val="129"/>
      </font>
      <numFmt numFmtId="176" formatCode="&quot;₩&quot;#,##0.00_);[Red]\(&quot;₩&quot;#,##0.00\)"/>
    </dxf>
    <dxf>
      <font>
        <strike val="0"/>
        <outline val="0"/>
        <shadow val="0"/>
        <vertAlign val="baseline"/>
        <name val="Malgun Gothic"/>
        <family val="3"/>
        <charset val="129"/>
      </font>
    </dxf>
    <dxf>
      <font>
        <strike val="0"/>
        <outline val="0"/>
        <shadow val="0"/>
        <vertAlign val="baseline"/>
        <name val="Malgun Gothic"/>
        <family val="3"/>
        <charset val="129"/>
      </font>
      <numFmt numFmtId="176" formatCode="&quot;₩&quot;#,##0.00_);[Red]\(&quot;₩&quot;#,##0.00\)"/>
    </dxf>
    <dxf>
      <font>
        <strike val="0"/>
        <outline val="0"/>
        <shadow val="0"/>
        <vertAlign val="baseline"/>
        <name val="Malgun Gothic"/>
        <family val="3"/>
        <charset val="129"/>
      </font>
    </dxf>
    <dxf>
      <font>
        <strike val="0"/>
        <outline val="0"/>
        <shadow val="0"/>
        <vertAlign val="baseline"/>
        <name val="Malgun Gothic"/>
        <family val="3"/>
        <charset val="129"/>
      </font>
      <numFmt numFmtId="176" formatCode="&quot;₩&quot;#,##0.00_);[Red]\(&quot;₩&quot;#,##0.00\)"/>
    </dxf>
    <dxf>
      <font>
        <strike val="0"/>
        <outline val="0"/>
        <shadow val="0"/>
        <vertAlign val="baseline"/>
        <name val="Malgun Gothic"/>
        <family val="3"/>
        <charset val="129"/>
      </font>
    </dxf>
    <dxf>
      <font>
        <strike val="0"/>
        <outline val="0"/>
        <shadow val="0"/>
        <vertAlign val="baseline"/>
        <name val="Malgun Gothic"/>
        <family val="3"/>
        <charset val="129"/>
      </font>
      <numFmt numFmtId="176" formatCode="&quot;₩&quot;#,##0.00_);[Red]\(&quot;₩&quot;#,##0.00\)"/>
    </dxf>
    <dxf>
      <font>
        <strike val="0"/>
        <outline val="0"/>
        <shadow val="0"/>
        <vertAlign val="baseline"/>
        <name val="Malgun Gothic"/>
        <family val="3"/>
        <charset val="129"/>
      </font>
    </dxf>
    <dxf>
      <font>
        <strike val="0"/>
        <outline val="0"/>
        <shadow val="0"/>
        <vertAlign val="baseline"/>
        <name val="Malgun Gothic"/>
        <family val="3"/>
        <charset val="129"/>
      </font>
      <numFmt numFmtId="176" formatCode="&quot;₩&quot;#,##0.00_);[Red]\(&quot;₩&quot;#,##0.00\)"/>
    </dxf>
    <dxf>
      <font>
        <strike val="0"/>
        <outline val="0"/>
        <shadow val="0"/>
        <vertAlign val="baseline"/>
        <name val="Malgun Gothic"/>
        <family val="3"/>
        <charset val="129"/>
      </font>
    </dxf>
    <dxf>
      <font>
        <strike val="0"/>
        <outline val="0"/>
        <shadow val="0"/>
        <vertAlign val="baseline"/>
        <name val="Malgun Gothic"/>
        <family val="3"/>
        <charset val="129"/>
      </font>
      <numFmt numFmtId="176" formatCode="&quot;₩&quot;#,##0.00_);[Red]\(&quot;₩&quot;#,##0.00\)"/>
    </dxf>
    <dxf>
      <font>
        <strike val="0"/>
        <outline val="0"/>
        <shadow val="0"/>
        <vertAlign val="baseline"/>
        <name val="Malgun Gothic"/>
        <family val="3"/>
        <charset val="129"/>
      </font>
    </dxf>
    <dxf>
      <font>
        <strike val="0"/>
        <outline val="0"/>
        <shadow val="0"/>
        <vertAlign val="baseline"/>
        <name val="Malgun Gothic"/>
        <family val="3"/>
        <charset val="129"/>
      </font>
      <numFmt numFmtId="176" formatCode="&quot;₩&quot;#,##0.00_);[Red]\(&quot;₩&quot;#,##0.00\)"/>
    </dxf>
    <dxf>
      <font>
        <strike val="0"/>
        <outline val="0"/>
        <shadow val="0"/>
        <vertAlign val="baseline"/>
        <name val="Malgun Gothic"/>
        <family val="3"/>
        <charset val="129"/>
      </font>
    </dxf>
    <dxf>
      <font>
        <strike val="0"/>
        <outline val="0"/>
        <shadow val="0"/>
        <vertAlign val="baseline"/>
        <name val="Malgun Gothic"/>
        <family val="3"/>
        <charset val="129"/>
      </font>
      <numFmt numFmtId="176" formatCode="&quot;₩&quot;#,##0.00_);[Red]\(&quot;₩&quot;#,##0.00\)"/>
    </dxf>
    <dxf>
      <font>
        <strike val="0"/>
        <outline val="0"/>
        <shadow val="0"/>
        <vertAlign val="baseline"/>
        <name val="Malgun Gothic"/>
        <family val="3"/>
        <charset val="129"/>
      </font>
    </dxf>
    <dxf>
      <font>
        <strike val="0"/>
        <outline val="0"/>
        <shadow val="0"/>
        <vertAlign val="baseline"/>
        <name val="Malgun Gothic"/>
        <family val="3"/>
        <charset val="129"/>
      </font>
      <numFmt numFmtId="176" formatCode="&quot;₩&quot;#,##0.00_);[Red]\(&quot;₩&quot;#,##0.00\)"/>
    </dxf>
    <dxf>
      <font>
        <strike val="0"/>
        <outline val="0"/>
        <shadow val="0"/>
        <vertAlign val="baseline"/>
        <name val="Malgun Gothic"/>
        <family val="3"/>
        <charset val="129"/>
      </font>
    </dxf>
    <dxf>
      <font>
        <strike val="0"/>
        <outline val="0"/>
        <shadow val="0"/>
        <vertAlign val="baseline"/>
        <name val="Malgun Gothic"/>
        <family val="3"/>
        <charset val="129"/>
      </font>
      <numFmt numFmtId="176" formatCode="&quot;₩&quot;#,##0.00_);[Red]\(&quot;₩&quot;#,##0.00\)"/>
    </dxf>
    <dxf>
      <font>
        <strike val="0"/>
        <outline val="0"/>
        <shadow val="0"/>
        <vertAlign val="baseline"/>
        <name val="Malgun Gothic"/>
        <family val="3"/>
        <charset val="129"/>
      </font>
      <fill>
        <patternFill patternType="solid">
          <fgColor indexed="64"/>
          <bgColor theme="6" tint="0.79998168889431442"/>
        </patternFill>
      </fill>
      <alignment horizontal="left" vertical="center" textRotation="0" wrapText="0" justifyLastLine="0" shrinkToFit="0" readingOrder="0"/>
      <border diagonalUp="0" diagonalDown="0">
        <left/>
        <right style="medium">
          <color theme="6" tint="0.39994506668294322"/>
        </right>
        <top/>
        <bottom/>
        <vertical style="medium">
          <color theme="6" tint="0.39994506668294322"/>
        </vertical>
        <horizontal style="medium">
          <color theme="6" tint="0.39994506668294322"/>
        </horizontal>
      </border>
    </dxf>
    <dxf>
      <font>
        <strike val="0"/>
        <outline val="0"/>
        <shadow val="0"/>
        <vertAlign val="baseline"/>
        <name val="Malgun Gothic"/>
        <family val="3"/>
        <charset val="129"/>
      </font>
      <alignment horizontal="left" vertical="center" textRotation="0" wrapText="0" relativeIndent="1" justifyLastLine="0" shrinkToFit="0" readingOrder="0"/>
    </dxf>
    <dxf>
      <border>
        <top style="medium">
          <color theme="6" tint="0.39994506668294322"/>
        </top>
      </border>
    </dxf>
    <dxf>
      <font>
        <strike val="0"/>
        <outline val="0"/>
        <shadow val="0"/>
        <vertAlign val="baseline"/>
        <name val="Malgun Gothic"/>
        <family val="3"/>
        <charset val="129"/>
      </font>
      <fill>
        <patternFill patternType="solid">
          <fgColor indexed="64"/>
          <bgColor theme="6" tint="0.79998168889431442"/>
        </patternFill>
      </fill>
      <border diagonalUp="0" diagonalDown="0">
        <left style="medium">
          <color theme="6" tint="0.39994506668294322"/>
        </left>
        <right style="medium">
          <color theme="6" tint="0.39994506668294322"/>
        </right>
        <top/>
        <bottom/>
        <vertical style="medium">
          <color theme="6" tint="0.39994506668294322"/>
        </vertical>
        <horizontal style="medium">
          <color theme="6" tint="0.39994506668294322"/>
        </horizontal>
      </border>
    </dxf>
    <dxf>
      <border diagonalUp="0" diagonalDown="0">
        <left style="medium">
          <color theme="6" tint="0.39994506668294322"/>
        </left>
        <right style="medium">
          <color theme="6" tint="0.39994506668294322"/>
        </right>
        <top style="medium">
          <color theme="6" tint="0.39994506668294322"/>
        </top>
        <bottom style="medium">
          <color theme="6" tint="0.39994506668294322"/>
        </bottom>
      </border>
    </dxf>
    <dxf>
      <font>
        <strike val="0"/>
        <outline val="0"/>
        <shadow val="0"/>
        <vertAlign val="baseline"/>
        <name val="Malgun Gothic"/>
        <family val="3"/>
        <charset val="129"/>
      </font>
    </dxf>
    <dxf>
      <border>
        <bottom style="medium">
          <color theme="6" tint="0.39994506668294322"/>
        </bottom>
      </border>
    </dxf>
    <dxf>
      <font>
        <strike val="0"/>
        <outline val="0"/>
        <shadow val="0"/>
        <vertAlign val="baseline"/>
        <name val="Malgun Gothic"/>
        <family val="3"/>
        <charset val="129"/>
      </font>
      <border diagonalUp="0" diagonalDown="0">
        <left style="medium">
          <color theme="6" tint="0.39994506668294322"/>
        </left>
        <right style="medium">
          <color theme="6" tint="0.39994506668294322"/>
        </right>
        <top/>
        <bottom/>
        <vertical style="medium">
          <color theme="6" tint="0.39994506668294322"/>
        </vertical>
        <horizontal style="medium">
          <color theme="6" tint="0.39994506668294322"/>
        </horizontal>
      </border>
    </dxf>
    <dxf>
      <font>
        <color theme="9" tint="-0.24994659260841701"/>
      </font>
    </dxf>
    <dxf>
      <font>
        <color theme="9" tint="-0.24994659260841701"/>
      </font>
    </dxf>
    <dxf>
      <font>
        <color theme="9" tint="-0.24994659260841701"/>
      </font>
    </dxf>
    <dxf>
      <font>
        <color theme="9" tint="-0.24994659260841701"/>
      </font>
    </dxf>
    <dxf>
      <font>
        <color theme="9" tint="-0.24994659260841701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Malgun Gothic"/>
        <family val="3"/>
        <charset val="129"/>
        <scheme val="minor"/>
      </font>
      <numFmt numFmtId="176" formatCode="&quot;₩&quot;#,##0.00_);[Red]\(&quot;₩&quot;#,##0.00\)"/>
      <fill>
        <patternFill patternType="solid">
          <fgColor indexed="64"/>
          <bgColor theme="6" tint="0.79998168889431442"/>
        </patternFill>
      </fill>
      <alignment horizontal="right" vertical="bottom" textRotation="0" wrapText="0" indent="0" justifyLastLine="0" shrinkToFit="0" readingOrder="0"/>
      <border diagonalUp="0" diagonalDown="0" outline="0">
        <left style="medium">
          <color theme="6" tint="0.39997558519241921"/>
        </left>
        <right style="medium">
          <color theme="6" tint="0.3999755851924192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Malgun Gothic"/>
        <family val="2"/>
        <scheme val="minor"/>
      </font>
      <numFmt numFmtId="176" formatCode="&quot;₩&quot;#,##0.00_);[Red]\(&quot;₩&quot;#,##0.00\)"/>
      <fill>
        <patternFill patternType="solid">
          <fgColor indexed="64"/>
          <bgColor theme="6" tint="0.79998168889431442"/>
        </patternFill>
      </fill>
      <alignment horizontal="right" vertical="bottom" textRotation="0" wrapText="0" indent="0" justifyLastLine="0" shrinkToFit="0" readingOrder="0"/>
      <border diagonalUp="0" diagonalDown="0">
        <left style="medium">
          <color theme="6" tint="0.39997558519241921"/>
        </left>
        <right style="medium">
          <color theme="6" tint="0.39997558519241921"/>
        </right>
        <top style="medium">
          <color theme="6" tint="0.39997558519241921"/>
        </top>
        <bottom style="medium">
          <color theme="6" tint="0.39997558519241921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Malgun Gothic"/>
        <family val="3"/>
        <charset val="129"/>
        <scheme val="minor"/>
      </font>
      <fill>
        <patternFill patternType="solid">
          <fgColor indexed="64"/>
          <bgColor theme="6" tint="0.79998168889431442"/>
        </patternFill>
      </fill>
      <alignment horizontal="right" vertical="bottom" textRotation="0" wrapText="0" indent="0" justifyLastLine="0" shrinkToFit="0" readingOrder="0"/>
      <border diagonalUp="0" diagonalDown="0" outline="0">
        <left style="medium">
          <color theme="6" tint="0.39997558519241921"/>
        </left>
        <right style="medium">
          <color theme="6" tint="0.3999755851924192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Malgun Gothic"/>
        <family val="2"/>
        <scheme val="minor"/>
      </font>
      <numFmt numFmtId="176" formatCode="&quot;₩&quot;#,##0.00_);[Red]\(&quot;₩&quot;#,##0.00\)"/>
      <fill>
        <patternFill patternType="solid">
          <fgColor indexed="64"/>
          <bgColor theme="6" tint="0.79998168889431442"/>
        </patternFill>
      </fill>
      <alignment horizontal="right" vertical="bottom" textRotation="0" wrapText="0" indent="0" justifyLastLine="0" shrinkToFit="0" readingOrder="0"/>
      <border diagonalUp="0" diagonalDown="0">
        <left style="medium">
          <color theme="6" tint="0.39997558519241921"/>
        </left>
        <right style="medium">
          <color theme="6" tint="0.39997558519241921"/>
        </right>
        <top style="medium">
          <color theme="6" tint="0.39997558519241921"/>
        </top>
        <bottom style="medium">
          <color theme="6" tint="0.39997558519241921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Malgun Gothic"/>
        <family val="3"/>
        <charset val="129"/>
        <scheme val="minor"/>
      </font>
      <fill>
        <patternFill patternType="solid">
          <fgColor indexed="64"/>
          <bgColor theme="6" tint="0.79998168889431442"/>
        </patternFill>
      </fill>
      <alignment horizontal="right" vertical="bottom" textRotation="0" wrapText="0" indent="0" justifyLastLine="0" shrinkToFit="0" readingOrder="0"/>
      <border diagonalUp="0" diagonalDown="0" outline="0">
        <left style="medium">
          <color theme="6" tint="0.39997558519241921"/>
        </left>
        <right style="medium">
          <color theme="6" tint="0.3999755851924192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Malgun Gothic"/>
        <family val="2"/>
        <scheme val="minor"/>
      </font>
      <numFmt numFmtId="176" formatCode="&quot;₩&quot;#,##0.00_);[Red]\(&quot;₩&quot;#,##0.00\)"/>
      <fill>
        <patternFill patternType="solid">
          <fgColor indexed="64"/>
          <bgColor theme="6" tint="0.79998168889431442"/>
        </patternFill>
      </fill>
      <alignment horizontal="right" vertical="bottom" textRotation="0" wrapText="0" indent="0" justifyLastLine="0" shrinkToFit="0" readingOrder="0"/>
      <border diagonalUp="0" diagonalDown="0">
        <left style="medium">
          <color theme="6" tint="0.39997558519241921"/>
        </left>
        <right style="medium">
          <color theme="6" tint="0.39997558519241921"/>
        </right>
        <top style="medium">
          <color theme="6" tint="0.39997558519241921"/>
        </top>
        <bottom style="medium">
          <color theme="6" tint="0.39997558519241921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Malgun Gothic"/>
        <family val="3"/>
        <charset val="129"/>
        <scheme val="minor"/>
      </font>
      <fill>
        <patternFill patternType="solid">
          <fgColor indexed="64"/>
          <bgColor theme="6" tint="0.79998168889431442"/>
        </patternFill>
      </fill>
      <alignment horizontal="right" vertical="bottom" textRotation="0" wrapText="0" indent="0" justifyLastLine="0" shrinkToFit="0" readingOrder="0"/>
      <border diagonalUp="0" diagonalDown="0" outline="0">
        <left style="medium">
          <color theme="6" tint="0.39997558519241921"/>
        </left>
        <right style="medium">
          <color theme="6" tint="0.3999755851924192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Malgun Gothic"/>
        <family val="2"/>
        <scheme val="minor"/>
      </font>
      <numFmt numFmtId="176" formatCode="&quot;₩&quot;#,##0.00_);[Red]\(&quot;₩&quot;#,##0.00\)"/>
      <fill>
        <patternFill patternType="solid">
          <fgColor indexed="64"/>
          <bgColor theme="6" tint="0.79998168889431442"/>
        </patternFill>
      </fill>
      <alignment horizontal="right" vertical="bottom" textRotation="0" wrapText="0" indent="0" justifyLastLine="0" shrinkToFit="0" readingOrder="0"/>
      <border diagonalUp="0" diagonalDown="0">
        <left style="medium">
          <color theme="6" tint="0.39997558519241921"/>
        </left>
        <right style="medium">
          <color theme="6" tint="0.39997558519241921"/>
        </right>
        <top style="medium">
          <color theme="6" tint="0.39997558519241921"/>
        </top>
        <bottom style="medium">
          <color theme="6" tint="0.39997558519241921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Malgun Gothic"/>
        <family val="3"/>
        <charset val="129"/>
        <scheme val="minor"/>
      </font>
      <fill>
        <patternFill patternType="solid">
          <fgColor indexed="64"/>
          <bgColor theme="6" tint="0.79998168889431442"/>
        </patternFill>
      </fill>
      <alignment horizontal="right" vertical="bottom" textRotation="0" wrapText="0" indent="0" justifyLastLine="0" shrinkToFit="0" readingOrder="0"/>
      <border diagonalUp="0" diagonalDown="0" outline="0">
        <left style="medium">
          <color theme="6" tint="0.39997558519241921"/>
        </left>
        <right style="medium">
          <color theme="6" tint="0.3999755851924192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Malgun Gothic"/>
        <family val="2"/>
        <scheme val="minor"/>
      </font>
      <numFmt numFmtId="176" formatCode="&quot;₩&quot;#,##0.00_);[Red]\(&quot;₩&quot;#,##0.00\)"/>
      <fill>
        <patternFill patternType="solid">
          <fgColor indexed="64"/>
          <bgColor theme="6" tint="0.79998168889431442"/>
        </patternFill>
      </fill>
      <alignment horizontal="right" vertical="bottom" textRotation="0" wrapText="0" indent="0" justifyLastLine="0" shrinkToFit="0" readingOrder="0"/>
      <border diagonalUp="0" diagonalDown="0">
        <left style="medium">
          <color theme="6" tint="0.39997558519241921"/>
        </left>
        <right style="medium">
          <color theme="6" tint="0.39997558519241921"/>
        </right>
        <top style="medium">
          <color theme="6" tint="0.39997558519241921"/>
        </top>
        <bottom style="medium">
          <color theme="6" tint="0.39997558519241921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Malgun Gothic"/>
        <family val="3"/>
        <charset val="129"/>
        <scheme val="minor"/>
      </font>
      <fill>
        <patternFill patternType="solid">
          <fgColor indexed="64"/>
          <bgColor theme="6" tint="0.79998168889431442"/>
        </patternFill>
      </fill>
      <alignment horizontal="right" vertical="bottom" textRotation="0" wrapText="0" indent="0" justifyLastLine="0" shrinkToFit="0" readingOrder="0"/>
      <border diagonalUp="0" diagonalDown="0" outline="0">
        <left style="medium">
          <color theme="6" tint="0.39997558519241921"/>
        </left>
        <right style="medium">
          <color theme="6" tint="0.3999755851924192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Malgun Gothic"/>
        <family val="2"/>
        <scheme val="minor"/>
      </font>
      <numFmt numFmtId="176" formatCode="&quot;₩&quot;#,##0.00_);[Red]\(&quot;₩&quot;#,##0.00\)"/>
      <fill>
        <patternFill patternType="solid">
          <fgColor indexed="64"/>
          <bgColor theme="6" tint="0.79998168889431442"/>
        </patternFill>
      </fill>
      <alignment horizontal="right" vertical="bottom" textRotation="0" wrapText="0" indent="0" justifyLastLine="0" shrinkToFit="0" readingOrder="0"/>
      <border diagonalUp="0" diagonalDown="0">
        <left style="medium">
          <color theme="6" tint="0.39997558519241921"/>
        </left>
        <right style="medium">
          <color theme="6" tint="0.39997558519241921"/>
        </right>
        <top style="medium">
          <color theme="6" tint="0.39997558519241921"/>
        </top>
        <bottom style="medium">
          <color theme="6" tint="0.39997558519241921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Malgun Gothic"/>
        <family val="3"/>
        <charset val="129"/>
        <scheme val="minor"/>
      </font>
      <fill>
        <patternFill patternType="solid">
          <fgColor indexed="64"/>
          <bgColor theme="6" tint="0.79998168889431442"/>
        </patternFill>
      </fill>
      <alignment horizontal="right" vertical="bottom" textRotation="0" wrapText="0" indent="0" justifyLastLine="0" shrinkToFit="0" readingOrder="0"/>
      <border diagonalUp="0" diagonalDown="0" outline="0">
        <left style="medium">
          <color theme="6" tint="0.39997558519241921"/>
        </left>
        <right style="medium">
          <color theme="6" tint="0.3999755851924192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Malgun Gothic"/>
        <family val="2"/>
        <scheme val="minor"/>
      </font>
      <numFmt numFmtId="176" formatCode="&quot;₩&quot;#,##0.00_);[Red]\(&quot;₩&quot;#,##0.00\)"/>
      <fill>
        <patternFill patternType="solid">
          <fgColor indexed="64"/>
          <bgColor theme="6" tint="0.79998168889431442"/>
        </patternFill>
      </fill>
      <alignment horizontal="right" vertical="bottom" textRotation="0" wrapText="0" indent="0" justifyLastLine="0" shrinkToFit="0" readingOrder="0"/>
      <border diagonalUp="0" diagonalDown="0">
        <left style="medium">
          <color theme="6" tint="0.39997558519241921"/>
        </left>
        <right style="medium">
          <color theme="6" tint="0.39997558519241921"/>
        </right>
        <top style="medium">
          <color theme="6" tint="0.39997558519241921"/>
        </top>
        <bottom style="medium">
          <color theme="6" tint="0.39997558519241921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Malgun Gothic"/>
        <family val="3"/>
        <charset val="129"/>
        <scheme val="minor"/>
      </font>
      <fill>
        <patternFill patternType="solid">
          <fgColor indexed="64"/>
          <bgColor theme="6" tint="0.79998168889431442"/>
        </patternFill>
      </fill>
      <alignment horizontal="right" vertical="bottom" textRotation="0" wrapText="0" indent="0" justifyLastLine="0" shrinkToFit="0" readingOrder="0"/>
      <border diagonalUp="0" diagonalDown="0" outline="0">
        <left style="medium">
          <color theme="6" tint="0.39997558519241921"/>
        </left>
        <right style="medium">
          <color theme="6" tint="0.3999755851924192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Malgun Gothic"/>
        <family val="2"/>
        <scheme val="minor"/>
      </font>
      <numFmt numFmtId="176" formatCode="&quot;₩&quot;#,##0.00_);[Red]\(&quot;₩&quot;#,##0.00\)"/>
      <fill>
        <patternFill patternType="solid">
          <fgColor indexed="64"/>
          <bgColor theme="6" tint="0.79998168889431442"/>
        </patternFill>
      </fill>
      <alignment horizontal="right" vertical="bottom" textRotation="0" wrapText="0" indent="0" justifyLastLine="0" shrinkToFit="0" readingOrder="0"/>
      <border diagonalUp="0" diagonalDown="0">
        <left style="medium">
          <color theme="6" tint="0.39997558519241921"/>
        </left>
        <right style="medium">
          <color theme="6" tint="0.39997558519241921"/>
        </right>
        <top style="medium">
          <color theme="6" tint="0.39997558519241921"/>
        </top>
        <bottom style="medium">
          <color theme="6" tint="0.39997558519241921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Malgun Gothic"/>
        <family val="3"/>
        <charset val="129"/>
        <scheme val="minor"/>
      </font>
      <fill>
        <patternFill patternType="solid">
          <fgColor indexed="64"/>
          <bgColor theme="6" tint="0.79998168889431442"/>
        </patternFill>
      </fill>
      <alignment horizontal="right" vertical="bottom" textRotation="0" wrapText="0" indent="0" justifyLastLine="0" shrinkToFit="0" readingOrder="0"/>
      <border diagonalUp="0" diagonalDown="0" outline="0">
        <left style="medium">
          <color theme="6" tint="0.39997558519241921"/>
        </left>
        <right style="medium">
          <color theme="6" tint="0.3999755851924192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Malgun Gothic"/>
        <family val="2"/>
        <scheme val="minor"/>
      </font>
      <numFmt numFmtId="176" formatCode="&quot;₩&quot;#,##0.00_);[Red]\(&quot;₩&quot;#,##0.00\)"/>
      <fill>
        <patternFill patternType="solid">
          <fgColor indexed="64"/>
          <bgColor theme="6" tint="0.79998168889431442"/>
        </patternFill>
      </fill>
      <alignment horizontal="right" vertical="bottom" textRotation="0" wrapText="0" indent="0" justifyLastLine="0" shrinkToFit="0" readingOrder="0"/>
      <border diagonalUp="0" diagonalDown="0">
        <left style="medium">
          <color theme="6" tint="0.39997558519241921"/>
        </left>
        <right style="medium">
          <color theme="6" tint="0.39997558519241921"/>
        </right>
        <top style="medium">
          <color theme="6" tint="0.39997558519241921"/>
        </top>
        <bottom style="medium">
          <color theme="6" tint="0.39997558519241921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Malgun Gothic"/>
        <family val="3"/>
        <charset val="129"/>
        <scheme val="minor"/>
      </font>
      <fill>
        <patternFill patternType="solid">
          <fgColor indexed="64"/>
          <bgColor theme="6" tint="0.79998168889431442"/>
        </patternFill>
      </fill>
      <alignment horizontal="right" vertical="bottom" textRotation="0" wrapText="0" indent="0" justifyLastLine="0" shrinkToFit="0" readingOrder="0"/>
      <border diagonalUp="0" diagonalDown="0" outline="0">
        <left style="medium">
          <color theme="6" tint="0.39997558519241921"/>
        </left>
        <right style="medium">
          <color theme="6" tint="0.3999755851924192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Malgun Gothic"/>
        <family val="2"/>
        <scheme val="minor"/>
      </font>
      <numFmt numFmtId="176" formatCode="&quot;₩&quot;#,##0.00_);[Red]\(&quot;₩&quot;#,##0.00\)"/>
      <fill>
        <patternFill patternType="solid">
          <fgColor indexed="64"/>
          <bgColor theme="6" tint="0.79998168889431442"/>
        </patternFill>
      </fill>
      <alignment horizontal="right" vertical="bottom" textRotation="0" wrapText="0" indent="0" justifyLastLine="0" shrinkToFit="0" readingOrder="0"/>
      <border diagonalUp="0" diagonalDown="0">
        <left style="medium">
          <color theme="6" tint="0.39997558519241921"/>
        </left>
        <right style="medium">
          <color theme="6" tint="0.39997558519241921"/>
        </right>
        <top style="medium">
          <color theme="6" tint="0.39997558519241921"/>
        </top>
        <bottom style="medium">
          <color theme="6" tint="0.39997558519241921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Malgun Gothic"/>
        <family val="3"/>
        <charset val="129"/>
        <scheme val="minor"/>
      </font>
      <fill>
        <patternFill patternType="solid">
          <fgColor indexed="64"/>
          <bgColor theme="6" tint="0.79998168889431442"/>
        </patternFill>
      </fill>
      <alignment horizontal="right" vertical="bottom" textRotation="0" wrapText="0" indent="0" justifyLastLine="0" shrinkToFit="0" readingOrder="0"/>
      <border diagonalUp="0" diagonalDown="0" outline="0">
        <left style="medium">
          <color theme="6" tint="0.39997558519241921"/>
        </left>
        <right style="medium">
          <color theme="6" tint="0.3999755851924192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Malgun Gothic"/>
        <family val="2"/>
        <scheme val="minor"/>
      </font>
      <numFmt numFmtId="176" formatCode="&quot;₩&quot;#,##0.00_);[Red]\(&quot;₩&quot;#,##0.00\)"/>
      <fill>
        <patternFill patternType="solid">
          <fgColor indexed="64"/>
          <bgColor theme="6" tint="0.79998168889431442"/>
        </patternFill>
      </fill>
      <alignment horizontal="right" vertical="bottom" textRotation="0" wrapText="0" indent="0" justifyLastLine="0" shrinkToFit="0" readingOrder="0"/>
      <border diagonalUp="0" diagonalDown="0">
        <left style="medium">
          <color theme="6" tint="0.39997558519241921"/>
        </left>
        <right style="medium">
          <color theme="6" tint="0.39997558519241921"/>
        </right>
        <top style="medium">
          <color theme="6" tint="0.39997558519241921"/>
        </top>
        <bottom style="medium">
          <color theme="6" tint="0.39997558519241921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Malgun Gothic"/>
        <family val="3"/>
        <charset val="129"/>
        <scheme val="minor"/>
      </font>
      <fill>
        <patternFill patternType="solid">
          <fgColor indexed="64"/>
          <bgColor theme="6" tint="0.79998168889431442"/>
        </patternFill>
      </fill>
      <alignment horizontal="right" vertical="bottom" textRotation="0" wrapText="0" indent="0" justifyLastLine="0" shrinkToFit="0" readingOrder="0"/>
      <border diagonalUp="0" diagonalDown="0" outline="0">
        <left style="medium">
          <color theme="6" tint="0.39997558519241921"/>
        </left>
        <right style="medium">
          <color theme="6" tint="0.3999755851924192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Malgun Gothic"/>
        <family val="2"/>
        <scheme val="minor"/>
      </font>
      <numFmt numFmtId="176" formatCode="&quot;₩&quot;#,##0.00_);[Red]\(&quot;₩&quot;#,##0.00\)"/>
      <fill>
        <patternFill patternType="solid">
          <fgColor indexed="64"/>
          <bgColor theme="6" tint="0.79998168889431442"/>
        </patternFill>
      </fill>
      <alignment horizontal="right" vertical="bottom" textRotation="0" wrapText="0" indent="0" justifyLastLine="0" shrinkToFit="0" readingOrder="0"/>
      <border diagonalUp="0" diagonalDown="0">
        <left style="medium">
          <color theme="6" tint="0.39997558519241921"/>
        </left>
        <right style="medium">
          <color theme="6" tint="0.39997558519241921"/>
        </right>
        <top style="medium">
          <color theme="6" tint="0.39997558519241921"/>
        </top>
        <bottom style="medium">
          <color theme="6" tint="0.39997558519241921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Malgun Gothic"/>
        <family val="3"/>
        <charset val="129"/>
        <scheme val="minor"/>
      </font>
      <fill>
        <patternFill patternType="solid">
          <fgColor indexed="64"/>
          <bgColor theme="6" tint="0.79998168889431442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 style="medium">
          <color theme="6" tint="0.3999755851924192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Malgun Gothic"/>
        <family val="2"/>
        <scheme val="minor"/>
      </font>
      <numFmt numFmtId="176" formatCode="&quot;₩&quot;#,##0.00_);[Red]\(&quot;₩&quot;#,##0.00\)"/>
      <fill>
        <patternFill patternType="solid">
          <fgColor indexed="64"/>
          <bgColor theme="6" tint="0.79998168889431442"/>
        </patternFill>
      </fill>
      <alignment horizontal="right" vertical="bottom" textRotation="0" wrapText="0" indent="0" justifyLastLine="0" shrinkToFit="0" readingOrder="0"/>
      <border diagonalUp="0" diagonalDown="0">
        <left/>
        <right style="medium">
          <color theme="6" tint="0.39997558519241921"/>
        </right>
        <top style="medium">
          <color theme="6" tint="0.39997558519241921"/>
        </top>
        <bottom style="medium">
          <color theme="6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Malgun Gothic"/>
        <family val="3"/>
        <charset val="129"/>
        <scheme val="minor"/>
      </font>
      <fill>
        <patternFill patternType="solid">
          <fgColor indexed="64"/>
          <bgColor theme="3"/>
        </patternFill>
      </fill>
      <alignment horizontal="left" vertical="center" textRotation="0" wrapText="0" indent="1" justifyLastLine="0" shrinkToFit="0" readingOrder="0"/>
      <border diagonalUp="0" diagonalDown="0" outline="0">
        <left/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Malgun Gothic"/>
        <family val="2"/>
        <scheme val="minor"/>
      </font>
      <numFmt numFmtId="0" formatCode="General"/>
      <fill>
        <patternFill patternType="solid">
          <fgColor indexed="64"/>
          <bgColor theme="3"/>
        </patternFill>
      </fill>
      <alignment horizontal="left" vertical="center" textRotation="0" wrapText="0" relativeIndent="1" justifyLastLine="0" shrinkToFit="0" readingOrder="0"/>
      <border diagonalUp="0" diagonalDown="0">
        <left/>
        <right/>
        <top style="medium">
          <color theme="6" tint="0.39997558519241921"/>
        </top>
        <bottom/>
      </border>
    </dxf>
    <dxf>
      <font>
        <strike val="0"/>
        <outline val="0"/>
        <shadow val="0"/>
        <vertAlign val="baseline"/>
        <name val="Malgun Gothic"/>
        <family val="2"/>
      </font>
    </dxf>
    <dxf>
      <border outline="0">
        <left style="medium">
          <color theme="6" tint="0.39997558519241921"/>
        </left>
        <bottom style="medium">
          <color theme="6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Malgun Gothic"/>
        <family val="2"/>
        <scheme val="minor"/>
      </font>
      <numFmt numFmtId="0" formatCode="General"/>
      <fill>
        <patternFill patternType="solid">
          <fgColor indexed="64"/>
          <bgColor theme="6" tint="0.79998168889431442"/>
        </patternFill>
      </fill>
      <alignment horizontal="right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theme="2"/>
        <name val="Malgun Gothic"/>
        <family val="2"/>
        <scheme val="major"/>
      </font>
      <numFmt numFmtId="0" formatCode="General"/>
      <fill>
        <patternFill patternType="solid">
          <fgColor indexed="64"/>
          <bgColor theme="3" tint="-0.499984740745262"/>
        </patternFill>
      </fill>
      <alignment horizontal="general" vertical="center" textRotation="0" wrapText="0" indent="0" justifyLastLine="0" shrinkToFit="0" readingOrder="0"/>
    </dxf>
    <dxf>
      <font>
        <strike val="0"/>
        <outline val="0"/>
        <shadow val="0"/>
        <vertAlign val="baseline"/>
        <name val="Malgun Gothic"/>
        <family val="2"/>
      </font>
      <fill>
        <patternFill patternType="solid">
          <fgColor indexed="64"/>
          <bgColor theme="6" tint="0.79998168889431442"/>
        </patternFill>
      </fill>
      <alignment vertical="center" textRotation="0" wrapText="0" indent="0" justifyLastLine="0" shrinkToFit="0" readingOrder="0"/>
      <border diagonalUp="0" diagonalDown="0">
        <left style="medium">
          <color theme="6" tint="0.39994506668294322"/>
        </left>
        <right/>
        <top/>
        <bottom/>
      </border>
    </dxf>
    <dxf>
      <font>
        <strike val="0"/>
        <outline val="0"/>
        <shadow val="0"/>
        <vertAlign val="baseline"/>
        <name val="Malgun Gothic"/>
        <family val="2"/>
      </font>
      <numFmt numFmtId="176" formatCode="&quot;₩&quot;#,##0.00_);[Red]\(&quot;₩&quot;#,##0.00\)"/>
      <alignment vertical="center" textRotation="0" wrapText="0" indent="0" justifyLastLine="0" shrinkToFit="0" readingOrder="0"/>
      <border diagonalUp="0" diagonalDown="0">
        <left style="medium">
          <color theme="6" tint="0.39994506668294322"/>
        </left>
        <right/>
        <top style="medium">
          <color theme="6" tint="0.39994506668294322"/>
        </top>
        <bottom style="medium">
          <color theme="6" tint="0.39994506668294322"/>
        </bottom>
      </border>
    </dxf>
    <dxf>
      <font>
        <strike val="0"/>
        <outline val="0"/>
        <shadow val="0"/>
        <vertAlign val="baseline"/>
        <name val="Malgun Gothic"/>
        <family val="2"/>
      </font>
      <fill>
        <patternFill patternType="solid">
          <fgColor indexed="64"/>
          <bgColor theme="6" tint="0.79998168889431442"/>
        </patternFill>
      </fill>
      <alignment vertical="center" textRotation="0" wrapText="0" indent="0" justifyLastLine="0" shrinkToFit="0" readingOrder="0"/>
      <border diagonalUp="0" diagonalDown="0">
        <left style="medium">
          <color theme="6" tint="0.39994506668294322"/>
        </left>
        <right style="medium">
          <color theme="6" tint="0.39994506668294322"/>
        </right>
        <top/>
        <bottom/>
      </border>
    </dxf>
    <dxf>
      <font>
        <strike val="0"/>
        <outline val="0"/>
        <shadow val="0"/>
        <vertAlign val="baseline"/>
        <name val="Malgun Gothic"/>
        <family val="2"/>
      </font>
      <numFmt numFmtId="176" formatCode="&quot;₩&quot;#,##0.00_);[Red]\(&quot;₩&quot;#,##0.00\)"/>
      <fill>
        <patternFill patternType="solid">
          <fgColor indexed="64"/>
          <bgColor theme="0"/>
        </patternFill>
      </fill>
      <alignment vertical="center" textRotation="0" wrapText="0" indent="0" justifyLastLine="0" shrinkToFit="0" readingOrder="0"/>
      <border diagonalUp="0" diagonalDown="0">
        <left style="medium">
          <color theme="6" tint="0.39994506668294322"/>
        </left>
        <right style="medium">
          <color theme="6" tint="0.39994506668294322"/>
        </right>
        <top style="medium">
          <color theme="6" tint="0.39994506668294322"/>
        </top>
        <bottom style="medium">
          <color theme="6" tint="0.39994506668294322"/>
        </bottom>
      </border>
    </dxf>
    <dxf>
      <font>
        <strike val="0"/>
        <outline val="0"/>
        <shadow val="0"/>
        <vertAlign val="baseline"/>
        <name val="Malgun Gothic"/>
        <family val="2"/>
      </font>
      <fill>
        <patternFill patternType="solid">
          <fgColor indexed="64"/>
          <bgColor theme="6" tint="0.79998168889431442"/>
        </patternFill>
      </fill>
      <alignment vertical="center" textRotation="0" wrapText="0" indent="0" justifyLastLine="0" shrinkToFit="0" readingOrder="0"/>
      <border diagonalUp="0" diagonalDown="0">
        <left style="medium">
          <color theme="6" tint="0.39994506668294322"/>
        </left>
        <right style="medium">
          <color theme="6" tint="0.39994506668294322"/>
        </right>
        <top/>
        <bottom/>
      </border>
    </dxf>
    <dxf>
      <font>
        <strike val="0"/>
        <outline val="0"/>
        <shadow val="0"/>
        <vertAlign val="baseline"/>
        <name val="Malgun Gothic"/>
        <family val="2"/>
      </font>
      <numFmt numFmtId="176" formatCode="&quot;₩&quot;#,##0.00_);[Red]\(&quot;₩&quot;#,##0.00\)"/>
      <fill>
        <patternFill patternType="solid">
          <fgColor indexed="64"/>
          <bgColor theme="0"/>
        </patternFill>
      </fill>
      <alignment vertical="center" textRotation="0" wrapText="0" indent="0" justifyLastLine="0" shrinkToFit="0" readingOrder="0"/>
      <border diagonalUp="0" diagonalDown="0">
        <left style="medium">
          <color theme="6" tint="0.39994506668294322"/>
        </left>
        <right style="medium">
          <color theme="6" tint="0.39994506668294322"/>
        </right>
        <top style="medium">
          <color theme="6" tint="0.39994506668294322"/>
        </top>
        <bottom style="medium">
          <color theme="6" tint="0.39994506668294322"/>
        </bottom>
      </border>
    </dxf>
    <dxf>
      <font>
        <strike val="0"/>
        <outline val="0"/>
        <shadow val="0"/>
        <vertAlign val="baseline"/>
        <name val="Malgun Gothic"/>
        <family val="2"/>
      </font>
      <fill>
        <patternFill patternType="solid">
          <fgColor indexed="64"/>
          <bgColor theme="6" tint="0.79998168889431442"/>
        </patternFill>
      </fill>
      <alignment vertical="center" textRotation="0" wrapText="0" indent="0" justifyLastLine="0" shrinkToFit="0" readingOrder="0"/>
      <border diagonalUp="0" diagonalDown="0">
        <left style="medium">
          <color theme="6" tint="0.39994506668294322"/>
        </left>
        <right style="medium">
          <color theme="6" tint="0.39994506668294322"/>
        </right>
        <top/>
        <bottom/>
      </border>
    </dxf>
    <dxf>
      <font>
        <strike val="0"/>
        <outline val="0"/>
        <shadow val="0"/>
        <vertAlign val="baseline"/>
        <name val="Malgun Gothic"/>
        <family val="2"/>
      </font>
      <numFmt numFmtId="176" formatCode="&quot;₩&quot;#,##0.00_);[Red]\(&quot;₩&quot;#,##0.00\)"/>
      <fill>
        <patternFill patternType="solid">
          <fgColor indexed="64"/>
          <bgColor theme="0"/>
        </patternFill>
      </fill>
      <alignment vertical="center" textRotation="0" wrapText="0" indent="0" justifyLastLine="0" shrinkToFit="0" readingOrder="0"/>
      <border diagonalUp="0" diagonalDown="0">
        <left style="medium">
          <color theme="6" tint="0.39994506668294322"/>
        </left>
        <right style="medium">
          <color theme="6" tint="0.39994506668294322"/>
        </right>
        <top style="medium">
          <color theme="6" tint="0.39994506668294322"/>
        </top>
        <bottom style="medium">
          <color theme="6" tint="0.39994506668294322"/>
        </bottom>
      </border>
    </dxf>
    <dxf>
      <font>
        <strike val="0"/>
        <outline val="0"/>
        <shadow val="0"/>
        <vertAlign val="baseline"/>
        <name val="Malgun Gothic"/>
        <family val="2"/>
      </font>
      <fill>
        <patternFill patternType="solid">
          <fgColor indexed="64"/>
          <bgColor theme="6" tint="0.79998168889431442"/>
        </patternFill>
      </fill>
      <alignment vertical="center" textRotation="0" wrapText="0" indent="0" justifyLastLine="0" shrinkToFit="0" readingOrder="0"/>
      <border diagonalUp="0" diagonalDown="0">
        <left style="medium">
          <color theme="6" tint="0.39994506668294322"/>
        </left>
        <right style="medium">
          <color theme="6" tint="0.39994506668294322"/>
        </right>
        <top/>
        <bottom/>
      </border>
    </dxf>
    <dxf>
      <font>
        <strike val="0"/>
        <outline val="0"/>
        <shadow val="0"/>
        <vertAlign val="baseline"/>
        <name val="Malgun Gothic"/>
        <family val="2"/>
      </font>
      <numFmt numFmtId="176" formatCode="&quot;₩&quot;#,##0.00_);[Red]\(&quot;₩&quot;#,##0.00\)"/>
      <fill>
        <patternFill patternType="solid">
          <fgColor indexed="64"/>
          <bgColor theme="0"/>
        </patternFill>
      </fill>
      <alignment vertical="center" textRotation="0" wrapText="0" indent="0" justifyLastLine="0" shrinkToFit="0" readingOrder="0"/>
      <border diagonalUp="0" diagonalDown="0">
        <left style="medium">
          <color theme="6" tint="0.39994506668294322"/>
        </left>
        <right style="medium">
          <color theme="6" tint="0.39994506668294322"/>
        </right>
        <top style="medium">
          <color theme="6" tint="0.39994506668294322"/>
        </top>
        <bottom style="medium">
          <color theme="6" tint="0.39994506668294322"/>
        </bottom>
      </border>
    </dxf>
    <dxf>
      <font>
        <strike val="0"/>
        <outline val="0"/>
        <shadow val="0"/>
        <vertAlign val="baseline"/>
        <name val="Malgun Gothic"/>
        <family val="2"/>
      </font>
      <fill>
        <patternFill patternType="solid">
          <fgColor indexed="64"/>
          <bgColor theme="6" tint="0.79998168889431442"/>
        </patternFill>
      </fill>
      <alignment vertical="center" textRotation="0" wrapText="0" indent="0" justifyLastLine="0" shrinkToFit="0" readingOrder="0"/>
      <border diagonalUp="0" diagonalDown="0">
        <left style="medium">
          <color theme="6" tint="0.39994506668294322"/>
        </left>
        <right style="medium">
          <color theme="6" tint="0.39994506668294322"/>
        </right>
        <top/>
        <bottom/>
      </border>
    </dxf>
    <dxf>
      <font>
        <strike val="0"/>
        <outline val="0"/>
        <shadow val="0"/>
        <vertAlign val="baseline"/>
        <name val="Malgun Gothic"/>
        <family val="2"/>
      </font>
      <numFmt numFmtId="176" formatCode="&quot;₩&quot;#,##0.00_);[Red]\(&quot;₩&quot;#,##0.00\)"/>
      <fill>
        <patternFill patternType="solid">
          <fgColor indexed="64"/>
          <bgColor theme="0"/>
        </patternFill>
      </fill>
      <alignment vertical="center" textRotation="0" wrapText="0" indent="0" justifyLastLine="0" shrinkToFit="0" readingOrder="0"/>
      <border diagonalUp="0" diagonalDown="0">
        <left style="medium">
          <color theme="6" tint="0.39994506668294322"/>
        </left>
        <right style="medium">
          <color theme="6" tint="0.39994506668294322"/>
        </right>
        <top style="medium">
          <color theme="6" tint="0.39994506668294322"/>
        </top>
        <bottom style="medium">
          <color theme="6" tint="0.39994506668294322"/>
        </bottom>
      </border>
    </dxf>
    <dxf>
      <font>
        <strike val="0"/>
        <outline val="0"/>
        <shadow val="0"/>
        <vertAlign val="baseline"/>
        <name val="Malgun Gothic"/>
        <family val="2"/>
      </font>
      <fill>
        <patternFill patternType="solid">
          <fgColor indexed="64"/>
          <bgColor theme="6" tint="0.79998168889431442"/>
        </patternFill>
      </fill>
      <alignment vertical="center" textRotation="0" wrapText="0" indent="0" justifyLastLine="0" shrinkToFit="0" readingOrder="0"/>
      <border diagonalUp="0" diagonalDown="0">
        <left style="medium">
          <color theme="6" tint="0.39994506668294322"/>
        </left>
        <right style="medium">
          <color theme="6" tint="0.39994506668294322"/>
        </right>
        <top/>
        <bottom/>
      </border>
    </dxf>
    <dxf>
      <font>
        <strike val="0"/>
        <outline val="0"/>
        <shadow val="0"/>
        <vertAlign val="baseline"/>
        <name val="Malgun Gothic"/>
        <family val="2"/>
      </font>
      <numFmt numFmtId="176" formatCode="&quot;₩&quot;#,##0.00_);[Red]\(&quot;₩&quot;#,##0.00\)"/>
      <fill>
        <patternFill patternType="solid">
          <fgColor indexed="64"/>
          <bgColor theme="0"/>
        </patternFill>
      </fill>
      <alignment vertical="center" textRotation="0" wrapText="0" indent="0" justifyLastLine="0" shrinkToFit="0" readingOrder="0"/>
      <border diagonalUp="0" diagonalDown="0">
        <left style="medium">
          <color theme="6" tint="0.39994506668294322"/>
        </left>
        <right style="medium">
          <color theme="6" tint="0.39994506668294322"/>
        </right>
        <top style="medium">
          <color theme="6" tint="0.39994506668294322"/>
        </top>
        <bottom style="medium">
          <color theme="6" tint="0.39994506668294322"/>
        </bottom>
      </border>
    </dxf>
    <dxf>
      <font>
        <strike val="0"/>
        <outline val="0"/>
        <shadow val="0"/>
        <vertAlign val="baseline"/>
        <name val="Malgun Gothic"/>
        <family val="2"/>
      </font>
      <fill>
        <patternFill patternType="solid">
          <fgColor indexed="64"/>
          <bgColor theme="6" tint="0.79998168889431442"/>
        </patternFill>
      </fill>
      <alignment vertical="center" textRotation="0" wrapText="0" indent="0" justifyLastLine="0" shrinkToFit="0" readingOrder="0"/>
      <border diagonalUp="0" diagonalDown="0">
        <left style="medium">
          <color theme="6" tint="0.39994506668294322"/>
        </left>
        <right style="medium">
          <color theme="6" tint="0.39994506668294322"/>
        </right>
        <top/>
        <bottom/>
      </border>
    </dxf>
    <dxf>
      <font>
        <strike val="0"/>
        <outline val="0"/>
        <shadow val="0"/>
        <vertAlign val="baseline"/>
        <name val="Malgun Gothic"/>
        <family val="2"/>
      </font>
      <numFmt numFmtId="176" formatCode="&quot;₩&quot;#,##0.00_);[Red]\(&quot;₩&quot;#,##0.00\)"/>
      <fill>
        <patternFill patternType="solid">
          <fgColor indexed="64"/>
          <bgColor theme="0"/>
        </patternFill>
      </fill>
      <alignment vertical="center" textRotation="0" wrapText="0" indent="0" justifyLastLine="0" shrinkToFit="0" readingOrder="0"/>
      <border diagonalUp="0" diagonalDown="0">
        <left style="medium">
          <color theme="6" tint="0.39994506668294322"/>
        </left>
        <right style="medium">
          <color theme="6" tint="0.39994506668294322"/>
        </right>
        <top style="medium">
          <color theme="6" tint="0.39994506668294322"/>
        </top>
        <bottom style="medium">
          <color theme="6" tint="0.39994506668294322"/>
        </bottom>
      </border>
    </dxf>
    <dxf>
      <font>
        <strike val="0"/>
        <outline val="0"/>
        <shadow val="0"/>
        <vertAlign val="baseline"/>
        <name val="Malgun Gothic"/>
        <family val="2"/>
      </font>
      <fill>
        <patternFill patternType="solid">
          <fgColor indexed="64"/>
          <bgColor theme="6" tint="0.79998168889431442"/>
        </patternFill>
      </fill>
      <alignment vertical="center" textRotation="0" wrapText="0" indent="0" justifyLastLine="0" shrinkToFit="0" readingOrder="0"/>
      <border diagonalUp="0" diagonalDown="0">
        <left style="medium">
          <color theme="6" tint="0.39994506668294322"/>
        </left>
        <right style="medium">
          <color theme="6" tint="0.39994506668294322"/>
        </right>
        <top/>
        <bottom/>
      </border>
    </dxf>
    <dxf>
      <font>
        <strike val="0"/>
        <outline val="0"/>
        <shadow val="0"/>
        <vertAlign val="baseline"/>
        <name val="Malgun Gothic"/>
        <family val="2"/>
      </font>
      <numFmt numFmtId="176" formatCode="&quot;₩&quot;#,##0.00_);[Red]\(&quot;₩&quot;#,##0.00\)"/>
      <fill>
        <patternFill patternType="solid">
          <fgColor indexed="64"/>
          <bgColor theme="0"/>
        </patternFill>
      </fill>
      <alignment vertical="center" textRotation="0" wrapText="0" indent="0" justifyLastLine="0" shrinkToFit="0" readingOrder="0"/>
      <border diagonalUp="0" diagonalDown="0">
        <left style="medium">
          <color theme="6" tint="0.39994506668294322"/>
        </left>
        <right style="medium">
          <color theme="6" tint="0.39994506668294322"/>
        </right>
        <top style="medium">
          <color theme="6" tint="0.39994506668294322"/>
        </top>
        <bottom style="medium">
          <color theme="6" tint="0.39994506668294322"/>
        </bottom>
      </border>
    </dxf>
    <dxf>
      <font>
        <strike val="0"/>
        <outline val="0"/>
        <shadow val="0"/>
        <vertAlign val="baseline"/>
        <name val="Malgun Gothic"/>
        <family val="2"/>
      </font>
      <fill>
        <patternFill patternType="solid">
          <fgColor indexed="64"/>
          <bgColor theme="6" tint="0.79998168889431442"/>
        </patternFill>
      </fill>
      <alignment vertical="center" textRotation="0" wrapText="0" indent="0" justifyLastLine="0" shrinkToFit="0" readingOrder="0"/>
      <border diagonalUp="0" diagonalDown="0">
        <left style="medium">
          <color theme="6" tint="0.39994506668294322"/>
        </left>
        <right style="medium">
          <color theme="6" tint="0.39994506668294322"/>
        </right>
        <top/>
        <bottom/>
      </border>
    </dxf>
    <dxf>
      <font>
        <strike val="0"/>
        <outline val="0"/>
        <shadow val="0"/>
        <vertAlign val="baseline"/>
        <name val="Malgun Gothic"/>
        <family val="2"/>
      </font>
      <numFmt numFmtId="176" formatCode="&quot;₩&quot;#,##0.00_);[Red]\(&quot;₩&quot;#,##0.00\)"/>
      <fill>
        <patternFill patternType="solid">
          <fgColor indexed="64"/>
          <bgColor theme="0"/>
        </patternFill>
      </fill>
      <alignment vertical="center" textRotation="0" wrapText="0" indent="0" justifyLastLine="0" shrinkToFit="0" readingOrder="0"/>
      <border diagonalUp="0" diagonalDown="0">
        <left style="medium">
          <color theme="6" tint="0.39994506668294322"/>
        </left>
        <right style="medium">
          <color theme="6" tint="0.39994506668294322"/>
        </right>
        <top style="medium">
          <color theme="6" tint="0.39994506668294322"/>
        </top>
        <bottom style="medium">
          <color theme="6" tint="0.39994506668294322"/>
        </bottom>
      </border>
    </dxf>
    <dxf>
      <font>
        <strike val="0"/>
        <outline val="0"/>
        <shadow val="0"/>
        <vertAlign val="baseline"/>
        <name val="Malgun Gothic"/>
        <family val="2"/>
      </font>
      <fill>
        <patternFill patternType="solid">
          <fgColor indexed="64"/>
          <bgColor theme="6" tint="0.79998168889431442"/>
        </patternFill>
      </fill>
      <alignment vertical="center" textRotation="0" wrapText="0" indent="0" justifyLastLine="0" shrinkToFit="0" readingOrder="0"/>
      <border diagonalUp="0" diagonalDown="0">
        <left style="medium">
          <color theme="6" tint="0.39994506668294322"/>
        </left>
        <right style="medium">
          <color theme="6" tint="0.39994506668294322"/>
        </right>
        <top/>
        <bottom/>
      </border>
    </dxf>
    <dxf>
      <font>
        <strike val="0"/>
        <outline val="0"/>
        <shadow val="0"/>
        <vertAlign val="baseline"/>
        <name val="Malgun Gothic"/>
        <family val="2"/>
      </font>
      <numFmt numFmtId="176" formatCode="&quot;₩&quot;#,##0.00_);[Red]\(&quot;₩&quot;#,##0.00\)"/>
      <fill>
        <patternFill patternType="solid">
          <fgColor indexed="64"/>
          <bgColor theme="0"/>
        </patternFill>
      </fill>
      <alignment vertical="center" textRotation="0" wrapText="0" indent="0" justifyLastLine="0" shrinkToFit="0" readingOrder="0"/>
      <border diagonalUp="0" diagonalDown="0">
        <left style="medium">
          <color theme="6" tint="0.39994506668294322"/>
        </left>
        <right style="medium">
          <color theme="6" tint="0.39994506668294322"/>
        </right>
        <top style="medium">
          <color theme="6" tint="0.39994506668294322"/>
        </top>
        <bottom style="medium">
          <color theme="6" tint="0.39994506668294322"/>
        </bottom>
      </border>
    </dxf>
    <dxf>
      <font>
        <strike val="0"/>
        <outline val="0"/>
        <shadow val="0"/>
        <vertAlign val="baseline"/>
        <name val="Malgun Gothic"/>
        <family val="2"/>
      </font>
      <fill>
        <patternFill patternType="solid">
          <fgColor indexed="64"/>
          <bgColor theme="6" tint="0.79998168889431442"/>
        </patternFill>
      </fill>
      <alignment vertical="center" textRotation="0" wrapText="0" indent="0" justifyLastLine="0" shrinkToFit="0" readingOrder="0"/>
      <border diagonalUp="0" diagonalDown="0">
        <left style="medium">
          <color theme="6" tint="0.39994506668294322"/>
        </left>
        <right style="medium">
          <color theme="6" tint="0.39994506668294322"/>
        </right>
        <top/>
        <bottom/>
      </border>
    </dxf>
    <dxf>
      <font>
        <strike val="0"/>
        <outline val="0"/>
        <shadow val="0"/>
        <vertAlign val="baseline"/>
        <name val="Malgun Gothic"/>
        <family val="2"/>
      </font>
      <numFmt numFmtId="176" formatCode="&quot;₩&quot;#,##0.00_);[Red]\(&quot;₩&quot;#,##0.00\)"/>
      <fill>
        <patternFill patternType="solid">
          <fgColor indexed="64"/>
          <bgColor theme="0"/>
        </patternFill>
      </fill>
      <alignment vertical="center" textRotation="0" wrapText="0" indent="0" justifyLastLine="0" shrinkToFit="0" readingOrder="0"/>
      <border diagonalUp="0" diagonalDown="0">
        <left style="medium">
          <color theme="6" tint="0.39994506668294322"/>
        </left>
        <right style="medium">
          <color theme="6" tint="0.39994506668294322"/>
        </right>
        <top style="medium">
          <color theme="6" tint="0.39994506668294322"/>
        </top>
        <bottom style="medium">
          <color theme="6" tint="0.39994506668294322"/>
        </bottom>
      </border>
    </dxf>
    <dxf>
      <font>
        <strike val="0"/>
        <outline val="0"/>
        <shadow val="0"/>
        <vertAlign val="baseline"/>
        <name val="Malgun Gothic"/>
        <family val="2"/>
      </font>
      <fill>
        <patternFill patternType="solid">
          <fgColor indexed="64"/>
          <bgColor theme="6" tint="0.79998168889431442"/>
        </patternFill>
      </fill>
      <alignment vertical="center" textRotation="0" wrapText="0" indent="0" justifyLastLine="0" shrinkToFit="0" readingOrder="0"/>
      <border diagonalUp="0" diagonalDown="0">
        <left style="medium">
          <color theme="6" tint="0.39994506668294322"/>
        </left>
        <right style="medium">
          <color theme="6" tint="0.39994506668294322"/>
        </right>
        <top/>
        <bottom/>
        <vertical style="medium">
          <color theme="6" tint="0.39994506668294322"/>
        </vertical>
        <horizontal style="medium">
          <color theme="6" tint="0.39994506668294322"/>
        </horizontal>
      </border>
    </dxf>
    <dxf>
      <font>
        <strike val="0"/>
        <outline val="0"/>
        <shadow val="0"/>
        <vertAlign val="baseline"/>
        <name val="Malgun Gothic"/>
        <family val="2"/>
      </font>
      <numFmt numFmtId="176" formatCode="&quot;₩&quot;#,##0.00_);[Red]\(&quot;₩&quot;#,##0.00\)"/>
      <fill>
        <patternFill patternType="solid">
          <fgColor indexed="64"/>
          <bgColor theme="0"/>
        </patternFill>
      </fill>
      <border diagonalUp="0" diagonalDown="0">
        <left/>
        <right style="medium">
          <color theme="6" tint="0.39994506668294322"/>
        </right>
        <top style="medium">
          <color theme="6" tint="0.39994506668294322"/>
        </top>
        <bottom style="medium">
          <color theme="6" tint="0.39994506668294322"/>
        </bottom>
      </border>
    </dxf>
    <dxf>
      <font>
        <b/>
        <strike val="0"/>
        <outline val="0"/>
        <shadow val="0"/>
        <u val="none"/>
        <vertAlign val="baseline"/>
        <sz val="10"/>
        <color auto="1"/>
        <name val="Malgun Gothic"/>
        <family val="2"/>
        <scheme val="minor"/>
      </font>
      <fill>
        <patternFill patternType="solid">
          <fgColor indexed="64"/>
          <bgColor theme="6" tint="0.79998168889431442"/>
        </patternFill>
      </fill>
      <alignment horizontal="left" vertical="center" textRotation="0" wrapText="0" indent="0" justifyLastLine="0" shrinkToFit="0" readingOrder="0"/>
      <border diagonalUp="0" diagonalDown="0">
        <left/>
        <right/>
        <top style="medium">
          <color theme="6" tint="0.39994506668294322"/>
        </top>
        <bottom style="medium">
          <color theme="6" tint="0.39994506668294322"/>
        </bottom>
        <vertical/>
        <horizontal style="medium">
          <color theme="6" tint="0.39994506668294322"/>
        </horizontal>
      </border>
    </dxf>
    <dxf>
      <font>
        <strike val="0"/>
        <outline val="0"/>
        <shadow val="0"/>
        <vertAlign val="baseline"/>
        <name val="Malgun Gothic"/>
        <family val="2"/>
      </font>
      <alignment horizontal="left" vertical="center" textRotation="0" wrapText="0" relativeIndent="1" justifyLastLine="0" shrinkToFit="0" readingOrder="0"/>
      <border diagonalUp="0" diagonalDown="0">
        <left/>
        <right/>
        <top style="medium">
          <color theme="6" tint="0.39994506668294322"/>
        </top>
        <bottom style="medium">
          <color theme="6" tint="0.39994506668294322"/>
        </bottom>
      </border>
    </dxf>
    <dxf>
      <border>
        <top style="medium">
          <color theme="6" tint="0.39994506668294322"/>
        </top>
      </border>
    </dxf>
    <dxf>
      <font>
        <strike val="0"/>
        <outline val="0"/>
        <shadow val="0"/>
        <vertAlign val="baseline"/>
        <name val="Malgun Gothic"/>
        <family val="2"/>
      </font>
      <border diagonalUp="0" diagonalDown="0">
        <left style="medium">
          <color theme="6" tint="0.39994506668294322"/>
        </left>
        <right style="medium">
          <color theme="6" tint="0.39994506668294322"/>
        </right>
        <top/>
        <bottom/>
        <vertical style="medium">
          <color theme="6" tint="0.39994506668294322"/>
        </vertical>
        <horizontal style="medium">
          <color theme="6" tint="0.39994506668294322"/>
        </horizontal>
      </border>
    </dxf>
    <dxf>
      <border diagonalUp="0" diagonalDown="0">
        <left style="medium">
          <color theme="6" tint="0.39994506668294322"/>
        </left>
        <right style="medium">
          <color theme="6" tint="0.39994506668294322"/>
        </right>
        <top style="medium">
          <color theme="6" tint="0.39994506668294322"/>
        </top>
        <bottom style="medium">
          <color theme="6" tint="0.39994506668294322"/>
        </bottom>
      </border>
    </dxf>
    <dxf>
      <font>
        <strike val="0"/>
        <outline val="0"/>
        <shadow val="0"/>
        <vertAlign val="baseline"/>
        <name val="Malgun Gothic"/>
        <family val="2"/>
      </font>
    </dxf>
    <dxf>
      <border>
        <bottom style="medium">
          <color theme="6" tint="0.39994506668294322"/>
        </bottom>
      </border>
    </dxf>
    <dxf>
      <font>
        <strike val="0"/>
        <outline val="0"/>
        <shadow val="0"/>
        <vertAlign val="baseline"/>
        <name val="Malgun Gothic"/>
        <family val="2"/>
      </font>
      <border diagonalUp="0" diagonalDown="0">
        <left style="medium">
          <color theme="6" tint="0.39994506668294322"/>
        </left>
        <right style="medium">
          <color theme="6" tint="0.39994506668294322"/>
        </right>
        <top/>
        <bottom/>
        <vertical style="medium">
          <color theme="6" tint="0.39994506668294322"/>
        </vertical>
        <horizontal style="medium">
          <color theme="6" tint="0.39994506668294322"/>
        </horizontal>
      </border>
    </dxf>
    <dxf>
      <font>
        <strike val="0"/>
        <outline val="0"/>
        <shadow val="0"/>
        <vertAlign val="baseline"/>
        <name val="Malgun Gothic"/>
        <family val="2"/>
      </font>
      <fill>
        <patternFill patternType="solid">
          <fgColor indexed="64"/>
          <bgColor theme="6" tint="0.79998168889431442"/>
        </patternFill>
      </fill>
      <border diagonalUp="0" diagonalDown="0">
        <left style="medium">
          <color theme="6" tint="0.39994506668294322"/>
        </left>
        <right/>
        <top/>
        <bottom/>
      </border>
    </dxf>
    <dxf>
      <font>
        <strike val="0"/>
        <outline val="0"/>
        <shadow val="0"/>
        <vertAlign val="baseline"/>
        <name val="Malgun Gothic"/>
        <family val="2"/>
      </font>
      <numFmt numFmtId="176" formatCode="&quot;₩&quot;#,##0.00_);[Red]\(&quot;₩&quot;#,##0.00\)"/>
      <alignment horizontal="right" vertical="center" textRotation="0" wrapText="0" indent="0" justifyLastLine="0" shrinkToFit="0" readingOrder="0"/>
      <border diagonalUp="0" diagonalDown="0">
        <left style="medium">
          <color theme="6" tint="0.39994506668294322"/>
        </left>
        <right/>
        <top style="medium">
          <color theme="6" tint="0.39994506668294322"/>
        </top>
        <bottom style="medium">
          <color theme="6" tint="0.39994506668294322"/>
        </bottom>
      </border>
    </dxf>
    <dxf>
      <font>
        <strike val="0"/>
        <outline val="0"/>
        <shadow val="0"/>
        <vertAlign val="baseline"/>
        <name val="Malgun Gothic"/>
        <family val="2"/>
      </font>
      <fill>
        <patternFill patternType="solid">
          <fgColor indexed="64"/>
          <bgColor theme="6" tint="0.79998168889431442"/>
        </patternFill>
      </fill>
      <border diagonalUp="0" diagonalDown="0">
        <left style="medium">
          <color theme="6" tint="0.39994506668294322"/>
        </left>
        <right style="medium">
          <color theme="6" tint="0.39994506668294322"/>
        </right>
        <top/>
        <bottom/>
      </border>
    </dxf>
    <dxf>
      <font>
        <strike val="0"/>
        <outline val="0"/>
        <shadow val="0"/>
        <vertAlign val="baseline"/>
        <name val="Malgun Gothic"/>
        <family val="2"/>
      </font>
      <numFmt numFmtId="176" formatCode="&quot;₩&quot;#,##0.00_);[Red]\(&quot;₩&quot;#,##0.00\)"/>
      <fill>
        <patternFill patternType="solid">
          <fgColor indexed="64"/>
          <bgColor theme="0"/>
        </patternFill>
      </fill>
      <alignment horizontal="right" vertical="center" textRotation="0" wrapText="0" indent="0" justifyLastLine="0" shrinkToFit="0" readingOrder="0"/>
      <border diagonalUp="0" diagonalDown="0">
        <left style="medium">
          <color theme="6" tint="0.39994506668294322"/>
        </left>
        <right style="medium">
          <color theme="6" tint="0.39994506668294322"/>
        </right>
        <top style="medium">
          <color theme="6" tint="0.39994506668294322"/>
        </top>
        <bottom style="medium">
          <color theme="6" tint="0.39994506668294322"/>
        </bottom>
      </border>
    </dxf>
    <dxf>
      <font>
        <strike val="0"/>
        <outline val="0"/>
        <shadow val="0"/>
        <vertAlign val="baseline"/>
        <name val="Malgun Gothic"/>
        <family val="2"/>
      </font>
      <fill>
        <patternFill patternType="solid">
          <fgColor indexed="64"/>
          <bgColor theme="6" tint="0.79998168889431442"/>
        </patternFill>
      </fill>
      <border diagonalUp="0" diagonalDown="0">
        <left style="medium">
          <color theme="6" tint="0.39994506668294322"/>
        </left>
        <right style="medium">
          <color theme="6" tint="0.39994506668294322"/>
        </right>
        <top/>
        <bottom/>
      </border>
    </dxf>
    <dxf>
      <font>
        <strike val="0"/>
        <outline val="0"/>
        <shadow val="0"/>
        <vertAlign val="baseline"/>
        <name val="Malgun Gothic"/>
        <family val="2"/>
      </font>
      <numFmt numFmtId="176" formatCode="&quot;₩&quot;#,##0.00_);[Red]\(&quot;₩&quot;#,##0.00\)"/>
      <fill>
        <patternFill patternType="solid">
          <fgColor indexed="64"/>
          <bgColor theme="0"/>
        </patternFill>
      </fill>
      <alignment horizontal="right" vertical="center" textRotation="0" wrapText="0" indent="0" justifyLastLine="0" shrinkToFit="0" readingOrder="0"/>
      <border diagonalUp="0" diagonalDown="0">
        <left style="medium">
          <color theme="6" tint="0.39994506668294322"/>
        </left>
        <right style="medium">
          <color theme="6" tint="0.39994506668294322"/>
        </right>
        <top style="medium">
          <color theme="6" tint="0.39994506668294322"/>
        </top>
        <bottom style="medium">
          <color theme="6" tint="0.39994506668294322"/>
        </bottom>
      </border>
    </dxf>
    <dxf>
      <font>
        <strike val="0"/>
        <outline val="0"/>
        <shadow val="0"/>
        <vertAlign val="baseline"/>
        <name val="Malgun Gothic"/>
        <family val="2"/>
      </font>
      <fill>
        <patternFill patternType="solid">
          <fgColor indexed="64"/>
          <bgColor theme="6" tint="0.79998168889431442"/>
        </patternFill>
      </fill>
      <border diagonalUp="0" diagonalDown="0">
        <left style="medium">
          <color theme="6" tint="0.39994506668294322"/>
        </left>
        <right style="medium">
          <color theme="6" tint="0.39994506668294322"/>
        </right>
        <top/>
        <bottom/>
      </border>
    </dxf>
    <dxf>
      <font>
        <strike val="0"/>
        <outline val="0"/>
        <shadow val="0"/>
        <vertAlign val="baseline"/>
        <name val="Malgun Gothic"/>
        <family val="2"/>
      </font>
      <numFmt numFmtId="176" formatCode="&quot;₩&quot;#,##0.00_);[Red]\(&quot;₩&quot;#,##0.00\)"/>
      <fill>
        <patternFill patternType="solid">
          <fgColor indexed="64"/>
          <bgColor theme="0"/>
        </patternFill>
      </fill>
      <alignment horizontal="right" vertical="center" textRotation="0" wrapText="0" indent="0" justifyLastLine="0" shrinkToFit="0" readingOrder="0"/>
      <border diagonalUp="0" diagonalDown="0">
        <left style="medium">
          <color theme="6" tint="0.39994506668294322"/>
        </left>
        <right style="medium">
          <color theme="6" tint="0.39994506668294322"/>
        </right>
        <top style="medium">
          <color theme="6" tint="0.39994506668294322"/>
        </top>
        <bottom style="medium">
          <color theme="6" tint="0.39994506668294322"/>
        </bottom>
      </border>
    </dxf>
    <dxf>
      <font>
        <strike val="0"/>
        <outline val="0"/>
        <shadow val="0"/>
        <vertAlign val="baseline"/>
        <name val="Malgun Gothic"/>
        <family val="2"/>
      </font>
      <fill>
        <patternFill patternType="solid">
          <fgColor indexed="64"/>
          <bgColor theme="6" tint="0.79998168889431442"/>
        </patternFill>
      </fill>
      <border diagonalUp="0" diagonalDown="0">
        <left style="medium">
          <color theme="6" tint="0.39994506668294322"/>
        </left>
        <right style="medium">
          <color theme="6" tint="0.39994506668294322"/>
        </right>
        <top/>
        <bottom/>
      </border>
    </dxf>
    <dxf>
      <font>
        <strike val="0"/>
        <outline val="0"/>
        <shadow val="0"/>
        <vertAlign val="baseline"/>
        <name val="Malgun Gothic"/>
        <family val="2"/>
      </font>
      <numFmt numFmtId="176" formatCode="&quot;₩&quot;#,##0.00_);[Red]\(&quot;₩&quot;#,##0.00\)"/>
      <fill>
        <patternFill patternType="solid">
          <fgColor indexed="64"/>
          <bgColor theme="0"/>
        </patternFill>
      </fill>
      <alignment horizontal="right" vertical="center" textRotation="0" wrapText="0" indent="0" justifyLastLine="0" shrinkToFit="0" readingOrder="0"/>
      <border diagonalUp="0" diagonalDown="0">
        <left style="medium">
          <color theme="6" tint="0.39994506668294322"/>
        </left>
        <right style="medium">
          <color theme="6" tint="0.39994506668294322"/>
        </right>
        <top style="medium">
          <color theme="6" tint="0.39994506668294322"/>
        </top>
        <bottom style="medium">
          <color theme="6" tint="0.39994506668294322"/>
        </bottom>
      </border>
    </dxf>
    <dxf>
      <font>
        <strike val="0"/>
        <outline val="0"/>
        <shadow val="0"/>
        <vertAlign val="baseline"/>
        <name val="Malgun Gothic"/>
        <family val="2"/>
      </font>
      <fill>
        <patternFill patternType="solid">
          <fgColor indexed="64"/>
          <bgColor theme="6" tint="0.79998168889431442"/>
        </patternFill>
      </fill>
      <border diagonalUp="0" diagonalDown="0">
        <left style="medium">
          <color theme="6" tint="0.39994506668294322"/>
        </left>
        <right style="medium">
          <color theme="6" tint="0.39994506668294322"/>
        </right>
        <top/>
        <bottom/>
      </border>
    </dxf>
    <dxf>
      <font>
        <strike val="0"/>
        <outline val="0"/>
        <shadow val="0"/>
        <vertAlign val="baseline"/>
        <name val="Malgun Gothic"/>
        <family val="2"/>
      </font>
      <numFmt numFmtId="176" formatCode="&quot;₩&quot;#,##0.00_);[Red]\(&quot;₩&quot;#,##0.00\)"/>
      <fill>
        <patternFill patternType="solid">
          <fgColor indexed="64"/>
          <bgColor theme="0"/>
        </patternFill>
      </fill>
      <alignment horizontal="right" vertical="center" textRotation="0" wrapText="0" indent="0" justifyLastLine="0" shrinkToFit="0" readingOrder="0"/>
      <border diagonalUp="0" diagonalDown="0">
        <left style="medium">
          <color theme="6" tint="0.39994506668294322"/>
        </left>
        <right style="medium">
          <color theme="6" tint="0.39994506668294322"/>
        </right>
        <top style="medium">
          <color theme="6" tint="0.39994506668294322"/>
        </top>
        <bottom style="medium">
          <color theme="6" tint="0.39994506668294322"/>
        </bottom>
      </border>
    </dxf>
    <dxf>
      <font>
        <strike val="0"/>
        <outline val="0"/>
        <shadow val="0"/>
        <vertAlign val="baseline"/>
        <name val="Malgun Gothic"/>
        <family val="2"/>
      </font>
      <fill>
        <patternFill patternType="solid">
          <fgColor indexed="64"/>
          <bgColor theme="6" tint="0.79998168889431442"/>
        </patternFill>
      </fill>
      <border diagonalUp="0" diagonalDown="0">
        <left style="medium">
          <color theme="6" tint="0.39994506668294322"/>
        </left>
        <right style="medium">
          <color theme="6" tint="0.39994506668294322"/>
        </right>
        <top/>
        <bottom/>
      </border>
    </dxf>
    <dxf>
      <font>
        <strike val="0"/>
        <outline val="0"/>
        <shadow val="0"/>
        <vertAlign val="baseline"/>
        <name val="Malgun Gothic"/>
        <family val="2"/>
      </font>
      <numFmt numFmtId="176" formatCode="&quot;₩&quot;#,##0.00_);[Red]\(&quot;₩&quot;#,##0.00\)"/>
      <fill>
        <patternFill patternType="solid">
          <fgColor indexed="64"/>
          <bgColor theme="0"/>
        </patternFill>
      </fill>
      <alignment horizontal="right" vertical="center" textRotation="0" wrapText="0" indent="0" justifyLastLine="0" shrinkToFit="0" readingOrder="0"/>
      <border diagonalUp="0" diagonalDown="0">
        <left style="medium">
          <color theme="6" tint="0.39994506668294322"/>
        </left>
        <right style="medium">
          <color theme="6" tint="0.39994506668294322"/>
        </right>
        <top style="medium">
          <color theme="6" tint="0.39994506668294322"/>
        </top>
        <bottom style="medium">
          <color theme="6" tint="0.39994506668294322"/>
        </bottom>
      </border>
    </dxf>
    <dxf>
      <font>
        <strike val="0"/>
        <outline val="0"/>
        <shadow val="0"/>
        <vertAlign val="baseline"/>
        <name val="Malgun Gothic"/>
        <family val="2"/>
      </font>
      <fill>
        <patternFill patternType="solid">
          <fgColor indexed="64"/>
          <bgColor theme="6" tint="0.79998168889431442"/>
        </patternFill>
      </fill>
      <border diagonalUp="0" diagonalDown="0">
        <left style="medium">
          <color theme="6" tint="0.39994506668294322"/>
        </left>
        <right style="medium">
          <color theme="6" tint="0.39994506668294322"/>
        </right>
        <top/>
        <bottom/>
      </border>
    </dxf>
    <dxf>
      <font>
        <strike val="0"/>
        <outline val="0"/>
        <shadow val="0"/>
        <vertAlign val="baseline"/>
        <name val="Malgun Gothic"/>
        <family val="2"/>
      </font>
      <numFmt numFmtId="176" formatCode="&quot;₩&quot;#,##0.00_);[Red]\(&quot;₩&quot;#,##0.00\)"/>
      <fill>
        <patternFill patternType="solid">
          <fgColor indexed="64"/>
          <bgColor theme="0"/>
        </patternFill>
      </fill>
      <alignment horizontal="right" vertical="center" textRotation="0" wrapText="0" indent="0" justifyLastLine="0" shrinkToFit="0" readingOrder="0"/>
      <border diagonalUp="0" diagonalDown="0">
        <left style="medium">
          <color theme="6" tint="0.39994506668294322"/>
        </left>
        <right style="medium">
          <color theme="6" tint="0.39994506668294322"/>
        </right>
        <top style="medium">
          <color theme="6" tint="0.39994506668294322"/>
        </top>
        <bottom style="medium">
          <color theme="6" tint="0.39994506668294322"/>
        </bottom>
      </border>
    </dxf>
    <dxf>
      <font>
        <strike val="0"/>
        <outline val="0"/>
        <shadow val="0"/>
        <vertAlign val="baseline"/>
        <name val="Malgun Gothic"/>
        <family val="2"/>
      </font>
      <fill>
        <patternFill patternType="solid">
          <fgColor indexed="64"/>
          <bgColor theme="6" tint="0.79998168889431442"/>
        </patternFill>
      </fill>
      <border diagonalUp="0" diagonalDown="0">
        <left style="medium">
          <color theme="6" tint="0.39994506668294322"/>
        </left>
        <right style="medium">
          <color theme="6" tint="0.39994506668294322"/>
        </right>
        <top/>
        <bottom/>
      </border>
    </dxf>
    <dxf>
      <font>
        <strike val="0"/>
        <outline val="0"/>
        <shadow val="0"/>
        <vertAlign val="baseline"/>
        <name val="Malgun Gothic"/>
        <family val="2"/>
      </font>
      <numFmt numFmtId="176" formatCode="&quot;₩&quot;#,##0.00_);[Red]\(&quot;₩&quot;#,##0.00\)"/>
      <fill>
        <patternFill patternType="solid">
          <fgColor indexed="64"/>
          <bgColor theme="0"/>
        </patternFill>
      </fill>
      <alignment horizontal="right" vertical="center" textRotation="0" wrapText="0" indent="0" justifyLastLine="0" shrinkToFit="0" readingOrder="0"/>
      <border diagonalUp="0" diagonalDown="0">
        <left style="medium">
          <color theme="6" tint="0.39994506668294322"/>
        </left>
        <right style="medium">
          <color theme="6" tint="0.39994506668294322"/>
        </right>
        <top style="medium">
          <color theme="6" tint="0.39994506668294322"/>
        </top>
        <bottom style="medium">
          <color theme="6" tint="0.39994506668294322"/>
        </bottom>
      </border>
    </dxf>
    <dxf>
      <font>
        <strike val="0"/>
        <outline val="0"/>
        <shadow val="0"/>
        <vertAlign val="baseline"/>
        <name val="Malgun Gothic"/>
        <family val="2"/>
      </font>
      <fill>
        <patternFill patternType="solid">
          <fgColor indexed="64"/>
          <bgColor theme="6" tint="0.79998168889431442"/>
        </patternFill>
      </fill>
      <border diagonalUp="0" diagonalDown="0">
        <left style="medium">
          <color theme="6" tint="0.39994506668294322"/>
        </left>
        <right style="medium">
          <color theme="6" tint="0.39994506668294322"/>
        </right>
        <top/>
        <bottom/>
      </border>
    </dxf>
    <dxf>
      <font>
        <strike val="0"/>
        <outline val="0"/>
        <shadow val="0"/>
        <vertAlign val="baseline"/>
        <name val="Malgun Gothic"/>
        <family val="2"/>
      </font>
      <numFmt numFmtId="176" formatCode="&quot;₩&quot;#,##0.00_);[Red]\(&quot;₩&quot;#,##0.00\)"/>
      <fill>
        <patternFill patternType="solid">
          <fgColor indexed="64"/>
          <bgColor theme="0"/>
        </patternFill>
      </fill>
      <alignment horizontal="right" vertical="center" textRotation="0" wrapText="0" indent="0" justifyLastLine="0" shrinkToFit="0" readingOrder="0"/>
      <border diagonalUp="0" diagonalDown="0">
        <left style="medium">
          <color theme="6" tint="0.39994506668294322"/>
        </left>
        <right style="medium">
          <color theme="6" tint="0.39994506668294322"/>
        </right>
        <top style="medium">
          <color theme="6" tint="0.39994506668294322"/>
        </top>
        <bottom style="medium">
          <color theme="6" tint="0.39994506668294322"/>
        </bottom>
      </border>
    </dxf>
    <dxf>
      <font>
        <strike val="0"/>
        <outline val="0"/>
        <shadow val="0"/>
        <vertAlign val="baseline"/>
        <name val="Malgun Gothic"/>
        <family val="2"/>
      </font>
      <fill>
        <patternFill patternType="solid">
          <fgColor indexed="64"/>
          <bgColor theme="6" tint="0.79998168889431442"/>
        </patternFill>
      </fill>
      <border diagonalUp="0" diagonalDown="0">
        <left style="medium">
          <color theme="6" tint="0.39994506668294322"/>
        </left>
        <right style="medium">
          <color theme="6" tint="0.39994506668294322"/>
        </right>
        <top/>
        <bottom/>
      </border>
    </dxf>
    <dxf>
      <font>
        <strike val="0"/>
        <outline val="0"/>
        <shadow val="0"/>
        <vertAlign val="baseline"/>
        <name val="Malgun Gothic"/>
        <family val="2"/>
      </font>
      <numFmt numFmtId="176" formatCode="&quot;₩&quot;#,##0.00_);[Red]\(&quot;₩&quot;#,##0.00\)"/>
      <fill>
        <patternFill patternType="solid">
          <fgColor indexed="64"/>
          <bgColor theme="0"/>
        </patternFill>
      </fill>
      <alignment horizontal="right" vertical="center" textRotation="0" wrapText="0" indent="0" justifyLastLine="0" shrinkToFit="0" readingOrder="0"/>
      <border diagonalUp="0" diagonalDown="0">
        <left style="medium">
          <color theme="6" tint="0.39994506668294322"/>
        </left>
        <right style="medium">
          <color theme="6" tint="0.39994506668294322"/>
        </right>
        <top style="medium">
          <color theme="6" tint="0.39994506668294322"/>
        </top>
        <bottom style="medium">
          <color theme="6" tint="0.39994506668294322"/>
        </bottom>
      </border>
    </dxf>
    <dxf>
      <font>
        <strike val="0"/>
        <outline val="0"/>
        <shadow val="0"/>
        <vertAlign val="baseline"/>
        <name val="Malgun Gothic"/>
        <family val="2"/>
      </font>
      <fill>
        <patternFill patternType="solid">
          <fgColor indexed="64"/>
          <bgColor theme="6" tint="0.79998168889431442"/>
        </patternFill>
      </fill>
      <border diagonalUp="0" diagonalDown="0">
        <left style="medium">
          <color theme="6" tint="0.39994506668294322"/>
        </left>
        <right style="medium">
          <color theme="6" tint="0.39994506668294322"/>
        </right>
        <top/>
        <bottom/>
      </border>
    </dxf>
    <dxf>
      <font>
        <strike val="0"/>
        <outline val="0"/>
        <shadow val="0"/>
        <vertAlign val="baseline"/>
        <name val="Malgun Gothic"/>
        <family val="2"/>
      </font>
      <numFmt numFmtId="176" formatCode="&quot;₩&quot;#,##0.00_);[Red]\(&quot;₩&quot;#,##0.00\)"/>
      <fill>
        <patternFill patternType="solid">
          <fgColor indexed="64"/>
          <bgColor theme="0"/>
        </patternFill>
      </fill>
      <alignment horizontal="right" vertical="center" textRotation="0" wrapText="0" indent="0" justifyLastLine="0" shrinkToFit="0" readingOrder="0"/>
      <border diagonalUp="0" diagonalDown="0">
        <left style="medium">
          <color theme="6" tint="0.39994506668294322"/>
        </left>
        <right style="medium">
          <color theme="6" tint="0.39994506668294322"/>
        </right>
        <top style="medium">
          <color theme="6" tint="0.39994506668294322"/>
        </top>
        <bottom style="medium">
          <color theme="6" tint="0.39994506668294322"/>
        </bottom>
      </border>
    </dxf>
    <dxf>
      <font>
        <strike val="0"/>
        <outline val="0"/>
        <shadow val="0"/>
        <vertAlign val="baseline"/>
        <name val="Malgun Gothic"/>
        <family val="2"/>
      </font>
      <fill>
        <patternFill patternType="solid">
          <fgColor indexed="64"/>
          <bgColor theme="6" tint="0.79998168889431442"/>
        </patternFill>
      </fill>
      <border diagonalUp="0" diagonalDown="0">
        <left style="medium">
          <color theme="6" tint="0.39994506668294322"/>
        </left>
        <right style="medium">
          <color theme="6" tint="0.39994506668294322"/>
        </right>
        <top/>
        <bottom/>
      </border>
    </dxf>
    <dxf>
      <font>
        <strike val="0"/>
        <outline val="0"/>
        <shadow val="0"/>
        <vertAlign val="baseline"/>
        <name val="Malgun Gothic"/>
        <family val="2"/>
      </font>
      <numFmt numFmtId="176" formatCode="&quot;₩&quot;#,##0.00_);[Red]\(&quot;₩&quot;#,##0.00\)"/>
      <fill>
        <patternFill patternType="solid">
          <fgColor indexed="64"/>
          <bgColor theme="0"/>
        </patternFill>
      </fill>
      <alignment horizontal="right" vertical="center" textRotation="0" wrapText="0" indent="0" justifyLastLine="0" shrinkToFit="0" readingOrder="0"/>
      <border diagonalUp="0" diagonalDown="0">
        <left/>
        <right style="medium">
          <color theme="6" tint="0.39994506668294322"/>
        </right>
        <top style="medium">
          <color theme="6" tint="0.39994506668294322"/>
        </top>
        <bottom style="medium">
          <color theme="6" tint="0.39994506668294322"/>
        </bottom>
      </border>
    </dxf>
    <dxf>
      <font>
        <b/>
        <strike val="0"/>
        <outline val="0"/>
        <shadow val="0"/>
        <u val="none"/>
        <vertAlign val="baseline"/>
        <sz val="10"/>
        <color auto="1"/>
        <name val="Malgun Gothic"/>
        <family val="2"/>
        <scheme val="minor"/>
      </font>
      <fill>
        <patternFill patternType="solid">
          <fgColor indexed="64"/>
          <bgColor theme="6" tint="0.79998168889431442"/>
        </patternFill>
      </fill>
      <alignment horizontal="left" vertical="center" textRotation="0" wrapText="0" justifyLastLine="0" shrinkToFit="0" readingOrder="0"/>
      <border diagonalUp="0" diagonalDown="0">
        <left/>
        <right style="medium">
          <color theme="6" tint="0.39994506668294322"/>
        </right>
        <top/>
        <bottom/>
      </border>
    </dxf>
    <dxf>
      <font>
        <b/>
        <strike val="0"/>
        <outline val="0"/>
        <shadow val="0"/>
        <u val="none"/>
        <vertAlign val="baseline"/>
        <sz val="10"/>
        <color theme="0"/>
        <name val="Malgun Gothic"/>
        <family val="2"/>
        <scheme val="minor"/>
      </font>
      <fill>
        <patternFill patternType="solid">
          <fgColor indexed="64"/>
          <bgColor theme="3"/>
        </patternFill>
      </fill>
      <alignment horizontal="left" vertical="center" textRotation="0" wrapText="0" relativeIndent="-1" justifyLastLine="0" shrinkToFit="0" readingOrder="0"/>
      <border diagonalUp="0" diagonalDown="0">
        <left/>
        <right style="medium">
          <color theme="6" tint="0.39994506668294322"/>
        </right>
        <top style="medium">
          <color theme="6" tint="0.39994506668294322"/>
        </top>
        <bottom style="medium">
          <color theme="6" tint="0.39994506668294322"/>
        </bottom>
      </border>
    </dxf>
    <dxf>
      <border>
        <top style="medium">
          <color theme="6" tint="0.39994506668294322"/>
        </top>
      </border>
    </dxf>
    <dxf>
      <font>
        <strike val="0"/>
        <outline val="0"/>
        <shadow val="0"/>
        <vertAlign val="baseline"/>
        <name val="Malgun Gothic"/>
        <family val="2"/>
      </font>
      <fill>
        <patternFill patternType="solid">
          <fgColor indexed="64"/>
          <bgColor theme="6" tint="0.79998168889431442"/>
        </patternFill>
      </fill>
      <border diagonalUp="0" diagonalDown="0">
        <left style="medium">
          <color theme="6" tint="0.39994506668294322"/>
        </left>
        <right style="medium">
          <color theme="6" tint="0.39994506668294322"/>
        </right>
        <top/>
        <bottom/>
      </border>
    </dxf>
    <dxf>
      <border diagonalUp="0" diagonalDown="0">
        <left style="medium">
          <color theme="6" tint="0.39994506668294322"/>
        </left>
        <right style="medium">
          <color theme="6" tint="0.39994506668294322"/>
        </right>
        <top style="medium">
          <color theme="6" tint="0.39994506668294322"/>
        </top>
        <bottom style="medium">
          <color theme="6" tint="0.39994506668294322"/>
        </bottom>
      </border>
    </dxf>
    <dxf>
      <font>
        <strike val="0"/>
        <outline val="0"/>
        <shadow val="0"/>
        <vertAlign val="baseline"/>
        <name val="Malgun Gothic"/>
        <family val="2"/>
      </font>
    </dxf>
    <dxf>
      <border>
        <bottom style="medium">
          <color theme="6" tint="0.39994506668294322"/>
        </bottom>
      </border>
    </dxf>
    <dxf>
      <font>
        <strike val="0"/>
        <outline val="0"/>
        <shadow val="0"/>
        <vertAlign val="baseline"/>
        <name val="Malgun Gothic"/>
        <family val="2"/>
      </font>
      <border diagonalUp="0" diagonalDown="0">
        <left style="medium">
          <color theme="6" tint="0.39994506668294322"/>
        </left>
        <right style="medium">
          <color theme="6" tint="0.39994506668294322"/>
        </right>
        <top/>
        <bottom/>
        <vertical style="medium">
          <color theme="6" tint="0.39994506668294322"/>
        </vertical>
        <horizontal style="medium">
          <color theme="6" tint="0.39994506668294322"/>
        </horizontal>
      </border>
    </dxf>
    <dxf>
      <font>
        <strike val="0"/>
        <outline val="0"/>
        <shadow val="0"/>
        <vertAlign val="baseline"/>
        <name val="Malgun Gothic"/>
        <family val="2"/>
      </font>
      <fill>
        <patternFill patternType="solid">
          <fgColor indexed="64"/>
          <bgColor theme="6" tint="0.79998168889431442"/>
        </patternFill>
      </fill>
      <alignment vertical="center" textRotation="0" wrapText="0" indent="0" justifyLastLine="0" shrinkToFit="0" readingOrder="0"/>
      <border diagonalUp="0" diagonalDown="0">
        <left style="medium">
          <color theme="6" tint="0.39994506668294322"/>
        </left>
        <right/>
        <top/>
        <bottom/>
      </border>
    </dxf>
    <dxf>
      <font>
        <strike val="0"/>
        <outline val="0"/>
        <shadow val="0"/>
        <vertAlign val="baseline"/>
        <name val="Malgun Gothic"/>
        <family val="2"/>
      </font>
      <numFmt numFmtId="176" formatCode="&quot;₩&quot;#,##0.00_);[Red]\(&quot;₩&quot;#,##0.00\)"/>
      <fill>
        <patternFill patternType="solid">
          <fgColor indexed="64"/>
          <bgColor theme="6" tint="0.79998168889431442"/>
        </patternFill>
      </fill>
      <alignment vertical="center" textRotation="0" wrapText="0" indent="0" justifyLastLine="0" shrinkToFit="0" readingOrder="0"/>
      <border diagonalUp="0" diagonalDown="0">
        <left style="medium">
          <color theme="6" tint="0.39994506668294322"/>
        </left>
        <right/>
        <top style="medium">
          <color theme="6" tint="0.39994506668294322"/>
        </top>
        <bottom style="medium">
          <color theme="6" tint="0.39994506668294322"/>
        </bottom>
      </border>
    </dxf>
    <dxf>
      <font>
        <strike val="0"/>
        <outline val="0"/>
        <shadow val="0"/>
        <vertAlign val="baseline"/>
        <name val="Malgun Gothic"/>
        <family val="2"/>
      </font>
      <fill>
        <patternFill patternType="solid">
          <fgColor indexed="64"/>
          <bgColor theme="6" tint="0.79998168889431442"/>
        </patternFill>
      </fill>
      <alignment vertical="center" textRotation="0" wrapText="0" indent="0" justifyLastLine="0" shrinkToFit="0" readingOrder="0"/>
      <border diagonalUp="0" diagonalDown="0">
        <left style="medium">
          <color theme="6" tint="0.39994506668294322"/>
        </left>
        <right style="medium">
          <color theme="6" tint="0.39994506668294322"/>
        </right>
        <top/>
        <bottom/>
      </border>
    </dxf>
    <dxf>
      <font>
        <strike val="0"/>
        <outline val="0"/>
        <shadow val="0"/>
        <vertAlign val="baseline"/>
        <name val="Malgun Gothic"/>
        <family val="2"/>
      </font>
      <numFmt numFmtId="176" formatCode="&quot;₩&quot;#,##0.00_);[Red]\(&quot;₩&quot;#,##0.00\)"/>
      <fill>
        <patternFill patternType="solid">
          <fgColor indexed="64"/>
          <bgColor theme="0"/>
        </patternFill>
      </fill>
      <alignment vertical="center" textRotation="0" wrapText="0" indent="0" justifyLastLine="0" shrinkToFit="0" readingOrder="0"/>
      <border diagonalUp="0" diagonalDown="0">
        <left style="medium">
          <color theme="6" tint="0.39994506668294322"/>
        </left>
        <right style="medium">
          <color theme="6" tint="0.39994506668294322"/>
        </right>
        <top style="medium">
          <color theme="6" tint="0.39994506668294322"/>
        </top>
        <bottom style="medium">
          <color theme="6" tint="0.39994506668294322"/>
        </bottom>
      </border>
    </dxf>
    <dxf>
      <font>
        <strike val="0"/>
        <outline val="0"/>
        <shadow val="0"/>
        <vertAlign val="baseline"/>
        <name val="Malgun Gothic"/>
        <family val="2"/>
      </font>
      <fill>
        <patternFill patternType="solid">
          <fgColor indexed="64"/>
          <bgColor theme="6" tint="0.79998168889431442"/>
        </patternFill>
      </fill>
      <alignment vertical="center" textRotation="0" wrapText="0" indent="0" justifyLastLine="0" shrinkToFit="0" readingOrder="0"/>
      <border diagonalUp="0" diagonalDown="0">
        <left style="medium">
          <color theme="6" tint="0.39994506668294322"/>
        </left>
        <right style="medium">
          <color theme="6" tint="0.39994506668294322"/>
        </right>
        <top/>
        <bottom/>
      </border>
    </dxf>
    <dxf>
      <font>
        <strike val="0"/>
        <outline val="0"/>
        <shadow val="0"/>
        <vertAlign val="baseline"/>
        <name val="Malgun Gothic"/>
        <family val="2"/>
      </font>
      <numFmt numFmtId="176" formatCode="&quot;₩&quot;#,##0.00_);[Red]\(&quot;₩&quot;#,##0.00\)"/>
      <fill>
        <patternFill patternType="solid">
          <fgColor indexed="64"/>
          <bgColor theme="0"/>
        </patternFill>
      </fill>
      <alignment vertical="center" textRotation="0" wrapText="0" indent="0" justifyLastLine="0" shrinkToFit="0" readingOrder="0"/>
      <border diagonalUp="0" diagonalDown="0">
        <left style="medium">
          <color theme="6" tint="0.39994506668294322"/>
        </left>
        <right style="medium">
          <color theme="6" tint="0.39994506668294322"/>
        </right>
        <top style="medium">
          <color theme="6" tint="0.39994506668294322"/>
        </top>
        <bottom style="medium">
          <color theme="6" tint="0.39994506668294322"/>
        </bottom>
      </border>
    </dxf>
    <dxf>
      <font>
        <strike val="0"/>
        <outline val="0"/>
        <shadow val="0"/>
        <vertAlign val="baseline"/>
        <name val="Malgun Gothic"/>
        <family val="2"/>
      </font>
      <fill>
        <patternFill patternType="solid">
          <fgColor indexed="64"/>
          <bgColor theme="6" tint="0.79998168889431442"/>
        </patternFill>
      </fill>
      <alignment vertical="center" textRotation="0" wrapText="0" indent="0" justifyLastLine="0" shrinkToFit="0" readingOrder="0"/>
      <border diagonalUp="0" diagonalDown="0">
        <left style="medium">
          <color theme="6" tint="0.39994506668294322"/>
        </left>
        <right style="medium">
          <color theme="6" tint="0.39994506668294322"/>
        </right>
        <top/>
        <bottom/>
      </border>
    </dxf>
    <dxf>
      <font>
        <strike val="0"/>
        <outline val="0"/>
        <shadow val="0"/>
        <vertAlign val="baseline"/>
        <name val="Malgun Gothic"/>
        <family val="2"/>
      </font>
      <numFmt numFmtId="176" formatCode="&quot;₩&quot;#,##0.00_);[Red]\(&quot;₩&quot;#,##0.00\)"/>
      <fill>
        <patternFill patternType="solid">
          <fgColor indexed="64"/>
          <bgColor theme="0"/>
        </patternFill>
      </fill>
      <alignment vertical="center" textRotation="0" wrapText="0" indent="0" justifyLastLine="0" shrinkToFit="0" readingOrder="0"/>
      <border diagonalUp="0" diagonalDown="0">
        <left style="medium">
          <color theme="6" tint="0.39994506668294322"/>
        </left>
        <right style="medium">
          <color theme="6" tint="0.39994506668294322"/>
        </right>
        <top style="medium">
          <color theme="6" tint="0.39994506668294322"/>
        </top>
        <bottom style="medium">
          <color theme="6" tint="0.39994506668294322"/>
        </bottom>
      </border>
    </dxf>
    <dxf>
      <font>
        <strike val="0"/>
        <outline val="0"/>
        <shadow val="0"/>
        <vertAlign val="baseline"/>
        <name val="Malgun Gothic"/>
        <family val="2"/>
      </font>
      <fill>
        <patternFill patternType="solid">
          <fgColor indexed="64"/>
          <bgColor theme="6" tint="0.79998168889431442"/>
        </patternFill>
      </fill>
      <alignment vertical="center" textRotation="0" wrapText="0" indent="0" justifyLastLine="0" shrinkToFit="0" readingOrder="0"/>
      <border diagonalUp="0" diagonalDown="0">
        <left style="medium">
          <color theme="6" tint="0.39994506668294322"/>
        </left>
        <right style="medium">
          <color theme="6" tint="0.39994506668294322"/>
        </right>
        <top/>
        <bottom/>
      </border>
    </dxf>
    <dxf>
      <font>
        <strike val="0"/>
        <outline val="0"/>
        <shadow val="0"/>
        <vertAlign val="baseline"/>
        <name val="Malgun Gothic"/>
        <family val="2"/>
      </font>
      <numFmt numFmtId="176" formatCode="&quot;₩&quot;#,##0.00_);[Red]\(&quot;₩&quot;#,##0.00\)"/>
      <fill>
        <patternFill patternType="solid">
          <fgColor indexed="64"/>
          <bgColor theme="0"/>
        </patternFill>
      </fill>
      <alignment vertical="center" textRotation="0" wrapText="0" indent="0" justifyLastLine="0" shrinkToFit="0" readingOrder="0"/>
      <border diagonalUp="0" diagonalDown="0">
        <left style="medium">
          <color theme="6" tint="0.39994506668294322"/>
        </left>
        <right style="medium">
          <color theme="6" tint="0.39994506668294322"/>
        </right>
        <top style="medium">
          <color theme="6" tint="0.39994506668294322"/>
        </top>
        <bottom style="medium">
          <color theme="6" tint="0.39994506668294322"/>
        </bottom>
      </border>
    </dxf>
    <dxf>
      <font>
        <strike val="0"/>
        <outline val="0"/>
        <shadow val="0"/>
        <vertAlign val="baseline"/>
        <name val="Malgun Gothic"/>
        <family val="2"/>
      </font>
      <fill>
        <patternFill patternType="solid">
          <fgColor indexed="64"/>
          <bgColor theme="6" tint="0.79998168889431442"/>
        </patternFill>
      </fill>
      <alignment vertical="center" textRotation="0" wrapText="0" indent="0" justifyLastLine="0" shrinkToFit="0" readingOrder="0"/>
      <border diagonalUp="0" diagonalDown="0">
        <left style="medium">
          <color theme="6" tint="0.39994506668294322"/>
        </left>
        <right style="medium">
          <color theme="6" tint="0.39994506668294322"/>
        </right>
        <top/>
        <bottom/>
      </border>
    </dxf>
    <dxf>
      <font>
        <strike val="0"/>
        <outline val="0"/>
        <shadow val="0"/>
        <vertAlign val="baseline"/>
        <name val="Malgun Gothic"/>
        <family val="2"/>
      </font>
      <numFmt numFmtId="176" formatCode="&quot;₩&quot;#,##0.00_);[Red]\(&quot;₩&quot;#,##0.00\)"/>
      <fill>
        <patternFill patternType="solid">
          <fgColor indexed="64"/>
          <bgColor theme="0"/>
        </patternFill>
      </fill>
      <alignment vertical="center" textRotation="0" wrapText="0" indent="0" justifyLastLine="0" shrinkToFit="0" readingOrder="0"/>
      <border diagonalUp="0" diagonalDown="0">
        <left style="medium">
          <color theme="6" tint="0.39994506668294322"/>
        </left>
        <right style="medium">
          <color theme="6" tint="0.39994506668294322"/>
        </right>
        <top style="medium">
          <color theme="6" tint="0.39994506668294322"/>
        </top>
        <bottom style="medium">
          <color theme="6" tint="0.39994506668294322"/>
        </bottom>
      </border>
    </dxf>
    <dxf>
      <font>
        <strike val="0"/>
        <outline val="0"/>
        <shadow val="0"/>
        <vertAlign val="baseline"/>
        <name val="Malgun Gothic"/>
        <family val="2"/>
      </font>
      <fill>
        <patternFill patternType="solid">
          <fgColor indexed="64"/>
          <bgColor theme="6" tint="0.79998168889431442"/>
        </patternFill>
      </fill>
      <alignment vertical="center" textRotation="0" wrapText="0" indent="0" justifyLastLine="0" shrinkToFit="0" readingOrder="0"/>
      <border diagonalUp="0" diagonalDown="0">
        <left style="medium">
          <color theme="6" tint="0.39994506668294322"/>
        </left>
        <right style="medium">
          <color theme="6" tint="0.39994506668294322"/>
        </right>
        <top/>
        <bottom/>
      </border>
    </dxf>
    <dxf>
      <font>
        <strike val="0"/>
        <outline val="0"/>
        <shadow val="0"/>
        <vertAlign val="baseline"/>
        <name val="Malgun Gothic"/>
        <family val="2"/>
      </font>
      <numFmt numFmtId="176" formatCode="&quot;₩&quot;#,##0.00_);[Red]\(&quot;₩&quot;#,##0.00\)"/>
      <fill>
        <patternFill patternType="solid">
          <fgColor indexed="64"/>
          <bgColor theme="0"/>
        </patternFill>
      </fill>
      <alignment vertical="center" textRotation="0" wrapText="0" indent="0" justifyLastLine="0" shrinkToFit="0" readingOrder="0"/>
      <border diagonalUp="0" diagonalDown="0">
        <left style="medium">
          <color theme="6" tint="0.39994506668294322"/>
        </left>
        <right style="medium">
          <color theme="6" tint="0.39994506668294322"/>
        </right>
        <top style="medium">
          <color theme="6" tint="0.39994506668294322"/>
        </top>
        <bottom style="medium">
          <color theme="6" tint="0.39994506668294322"/>
        </bottom>
      </border>
    </dxf>
    <dxf>
      <font>
        <strike val="0"/>
        <outline val="0"/>
        <shadow val="0"/>
        <vertAlign val="baseline"/>
        <name val="Malgun Gothic"/>
        <family val="2"/>
      </font>
      <fill>
        <patternFill patternType="solid">
          <fgColor indexed="64"/>
          <bgColor theme="6" tint="0.79998168889431442"/>
        </patternFill>
      </fill>
      <alignment vertical="center" textRotation="0" wrapText="0" indent="0" justifyLastLine="0" shrinkToFit="0" readingOrder="0"/>
      <border diagonalUp="0" diagonalDown="0">
        <left style="medium">
          <color theme="6" tint="0.39994506668294322"/>
        </left>
        <right style="medium">
          <color theme="6" tint="0.39994506668294322"/>
        </right>
        <top/>
        <bottom/>
      </border>
    </dxf>
    <dxf>
      <font>
        <strike val="0"/>
        <outline val="0"/>
        <shadow val="0"/>
        <vertAlign val="baseline"/>
        <name val="Malgun Gothic"/>
        <family val="2"/>
      </font>
      <numFmt numFmtId="176" formatCode="&quot;₩&quot;#,##0.00_);[Red]\(&quot;₩&quot;#,##0.00\)"/>
      <fill>
        <patternFill patternType="solid">
          <fgColor indexed="64"/>
          <bgColor theme="0"/>
        </patternFill>
      </fill>
      <alignment vertical="center" textRotation="0" wrapText="0" indent="0" justifyLastLine="0" shrinkToFit="0" readingOrder="0"/>
      <border diagonalUp="0" diagonalDown="0">
        <left style="medium">
          <color theme="6" tint="0.39994506668294322"/>
        </left>
        <right style="medium">
          <color theme="6" tint="0.39994506668294322"/>
        </right>
        <top style="medium">
          <color theme="6" tint="0.39994506668294322"/>
        </top>
        <bottom style="medium">
          <color theme="6" tint="0.39994506668294322"/>
        </bottom>
      </border>
    </dxf>
    <dxf>
      <font>
        <strike val="0"/>
        <outline val="0"/>
        <shadow val="0"/>
        <vertAlign val="baseline"/>
        <name val="Malgun Gothic"/>
        <family val="2"/>
      </font>
      <fill>
        <patternFill patternType="solid">
          <fgColor indexed="64"/>
          <bgColor theme="6" tint="0.79998168889431442"/>
        </patternFill>
      </fill>
      <alignment vertical="center" textRotation="0" wrapText="0" indent="0" justifyLastLine="0" shrinkToFit="0" readingOrder="0"/>
      <border diagonalUp="0" diagonalDown="0">
        <left style="medium">
          <color theme="6" tint="0.39994506668294322"/>
        </left>
        <right style="medium">
          <color theme="6" tint="0.39994506668294322"/>
        </right>
        <top/>
        <bottom/>
      </border>
    </dxf>
    <dxf>
      <font>
        <strike val="0"/>
        <outline val="0"/>
        <shadow val="0"/>
        <vertAlign val="baseline"/>
        <name val="Malgun Gothic"/>
        <family val="2"/>
      </font>
      <numFmt numFmtId="176" formatCode="&quot;₩&quot;#,##0.00_);[Red]\(&quot;₩&quot;#,##0.00\)"/>
      <fill>
        <patternFill patternType="solid">
          <fgColor indexed="64"/>
          <bgColor theme="0"/>
        </patternFill>
      </fill>
      <alignment vertical="center" textRotation="0" wrapText="0" indent="0" justifyLastLine="0" shrinkToFit="0" readingOrder="0"/>
      <border diagonalUp="0" diagonalDown="0">
        <left style="medium">
          <color theme="6" tint="0.39994506668294322"/>
        </left>
        <right style="medium">
          <color theme="6" tint="0.39994506668294322"/>
        </right>
        <top style="medium">
          <color theme="6" tint="0.39994506668294322"/>
        </top>
        <bottom style="medium">
          <color theme="6" tint="0.39994506668294322"/>
        </bottom>
      </border>
    </dxf>
    <dxf>
      <font>
        <strike val="0"/>
        <outline val="0"/>
        <shadow val="0"/>
        <vertAlign val="baseline"/>
        <name val="Malgun Gothic"/>
        <family val="2"/>
      </font>
      <fill>
        <patternFill patternType="solid">
          <fgColor indexed="64"/>
          <bgColor theme="6" tint="0.79998168889431442"/>
        </patternFill>
      </fill>
      <alignment vertical="center" textRotation="0" wrapText="0" indent="0" justifyLastLine="0" shrinkToFit="0" readingOrder="0"/>
      <border diagonalUp="0" diagonalDown="0">
        <left style="medium">
          <color theme="6" tint="0.39994506668294322"/>
        </left>
        <right style="medium">
          <color theme="6" tint="0.39994506668294322"/>
        </right>
        <top/>
        <bottom/>
      </border>
    </dxf>
    <dxf>
      <font>
        <strike val="0"/>
        <outline val="0"/>
        <shadow val="0"/>
        <vertAlign val="baseline"/>
        <name val="Malgun Gothic"/>
        <family val="2"/>
      </font>
      <numFmt numFmtId="176" formatCode="&quot;₩&quot;#,##0.00_);[Red]\(&quot;₩&quot;#,##0.00\)"/>
      <fill>
        <patternFill patternType="solid">
          <fgColor indexed="64"/>
          <bgColor theme="0"/>
        </patternFill>
      </fill>
      <alignment vertical="center" textRotation="0" wrapText="0" indent="0" justifyLastLine="0" shrinkToFit="0" readingOrder="0"/>
      <border diagonalUp="0" diagonalDown="0">
        <left style="medium">
          <color theme="6" tint="0.39994506668294322"/>
        </left>
        <right style="medium">
          <color theme="6" tint="0.39994506668294322"/>
        </right>
        <top style="medium">
          <color theme="6" tint="0.39994506668294322"/>
        </top>
        <bottom style="medium">
          <color theme="6" tint="0.39994506668294322"/>
        </bottom>
      </border>
    </dxf>
    <dxf>
      <font>
        <strike val="0"/>
        <outline val="0"/>
        <shadow val="0"/>
        <vertAlign val="baseline"/>
        <name val="Malgun Gothic"/>
        <family val="2"/>
      </font>
      <fill>
        <patternFill patternType="solid">
          <fgColor indexed="64"/>
          <bgColor theme="6" tint="0.79998168889431442"/>
        </patternFill>
      </fill>
      <alignment vertical="center" textRotation="0" wrapText="0" indent="0" justifyLastLine="0" shrinkToFit="0" readingOrder="0"/>
      <border diagonalUp="0" diagonalDown="0">
        <left style="medium">
          <color theme="6" tint="0.39994506668294322"/>
        </left>
        <right style="medium">
          <color theme="6" tint="0.39994506668294322"/>
        </right>
        <top/>
        <bottom/>
      </border>
    </dxf>
    <dxf>
      <font>
        <strike val="0"/>
        <outline val="0"/>
        <shadow val="0"/>
        <vertAlign val="baseline"/>
        <name val="Malgun Gothic"/>
        <family val="2"/>
      </font>
      <numFmt numFmtId="176" formatCode="&quot;₩&quot;#,##0.00_);[Red]\(&quot;₩&quot;#,##0.00\)"/>
      <fill>
        <patternFill patternType="solid">
          <fgColor indexed="64"/>
          <bgColor theme="0"/>
        </patternFill>
      </fill>
      <alignment vertical="center" textRotation="0" wrapText="0" indent="0" justifyLastLine="0" shrinkToFit="0" readingOrder="0"/>
      <border diagonalUp="0" diagonalDown="0">
        <left style="medium">
          <color theme="6" tint="0.39994506668294322"/>
        </left>
        <right style="medium">
          <color theme="6" tint="0.39994506668294322"/>
        </right>
        <top style="medium">
          <color theme="6" tint="0.39994506668294322"/>
        </top>
        <bottom style="medium">
          <color theme="6" tint="0.39994506668294322"/>
        </bottom>
      </border>
    </dxf>
    <dxf>
      <font>
        <strike val="0"/>
        <outline val="0"/>
        <shadow val="0"/>
        <vertAlign val="baseline"/>
        <name val="Malgun Gothic"/>
        <family val="2"/>
      </font>
      <fill>
        <patternFill patternType="solid">
          <fgColor indexed="64"/>
          <bgColor theme="6" tint="0.79998168889431442"/>
        </patternFill>
      </fill>
      <alignment vertical="center" textRotation="0" wrapText="0" indent="0" justifyLastLine="0" shrinkToFit="0" readingOrder="0"/>
      <border diagonalUp="0" diagonalDown="0">
        <left style="medium">
          <color theme="6" tint="0.39994506668294322"/>
        </left>
        <right style="medium">
          <color theme="6" tint="0.39994506668294322"/>
        </right>
        <top/>
        <bottom/>
      </border>
    </dxf>
    <dxf>
      <font>
        <strike val="0"/>
        <outline val="0"/>
        <shadow val="0"/>
        <vertAlign val="baseline"/>
        <name val="Malgun Gothic"/>
        <family val="2"/>
      </font>
      <numFmt numFmtId="176" formatCode="&quot;₩&quot;#,##0.00_);[Red]\(&quot;₩&quot;#,##0.00\)"/>
      <fill>
        <patternFill patternType="solid">
          <fgColor indexed="64"/>
          <bgColor theme="0"/>
        </patternFill>
      </fill>
      <alignment vertical="center" textRotation="0" wrapText="0" indent="0" justifyLastLine="0" shrinkToFit="0" readingOrder="0"/>
      <border diagonalUp="0" diagonalDown="0">
        <left style="medium">
          <color theme="6" tint="0.39994506668294322"/>
        </left>
        <right style="medium">
          <color theme="6" tint="0.39994506668294322"/>
        </right>
        <top style="medium">
          <color theme="6" tint="0.39994506668294322"/>
        </top>
        <bottom style="medium">
          <color theme="6" tint="0.39994506668294322"/>
        </bottom>
      </border>
    </dxf>
    <dxf>
      <font>
        <strike val="0"/>
        <outline val="0"/>
        <shadow val="0"/>
        <u val="none"/>
        <vertAlign val="baseline"/>
        <color auto="1"/>
        <name val="Malgun Gothic"/>
        <family val="2"/>
        <scheme val="minor"/>
      </font>
      <fill>
        <patternFill patternType="solid">
          <fgColor indexed="64"/>
          <bgColor theme="6" tint="0.79998168889431442"/>
        </patternFill>
      </fill>
      <alignment vertical="center" textRotation="0" wrapText="0" indent="0" justifyLastLine="0" shrinkToFit="0" readingOrder="0"/>
      <border diagonalUp="0" diagonalDown="0">
        <left style="medium">
          <color theme="6" tint="0.39994506668294322"/>
        </left>
        <right style="medium">
          <color theme="6" tint="0.39994506668294322"/>
        </right>
        <top/>
        <bottom/>
        <vertical style="medium">
          <color theme="6" tint="0.39994506668294322"/>
        </vertical>
        <horizontal style="medium">
          <color theme="6" tint="0.39994506668294322"/>
        </horizontal>
      </border>
    </dxf>
    <dxf>
      <font>
        <strike val="0"/>
        <outline val="0"/>
        <shadow val="0"/>
        <vertAlign val="baseline"/>
        <name val="Malgun Gothic"/>
        <family val="2"/>
      </font>
      <numFmt numFmtId="176" formatCode="&quot;₩&quot;#,##0.00_);[Red]\(&quot;₩&quot;#,##0.00\)"/>
      <fill>
        <patternFill patternType="solid">
          <fgColor indexed="64"/>
          <bgColor theme="0"/>
        </patternFill>
      </fill>
      <alignment vertical="center" textRotation="0" wrapText="0" indent="0" justifyLastLine="0" shrinkToFit="0" readingOrder="0"/>
      <border diagonalUp="0" diagonalDown="0">
        <left/>
        <right style="medium">
          <color theme="6" tint="0.39994506668294322"/>
        </right>
        <top style="medium">
          <color theme="6" tint="0.39994506668294322"/>
        </top>
        <bottom style="medium">
          <color theme="6" tint="0.39994506668294322"/>
        </bottom>
      </border>
    </dxf>
    <dxf>
      <font>
        <b/>
        <strike val="0"/>
        <outline val="0"/>
        <shadow val="0"/>
        <u val="none"/>
        <vertAlign val="baseline"/>
        <sz val="10"/>
        <color auto="1"/>
        <name val="Malgun Gothic"/>
        <family val="2"/>
        <scheme val="minor"/>
      </font>
      <fill>
        <patternFill patternType="solid">
          <fgColor indexed="64"/>
          <bgColor theme="6" tint="0.79998168889431442"/>
        </patternFill>
      </fill>
      <alignment vertical="center" textRotation="0" wrapText="0" indent="0" justifyLastLine="0" shrinkToFit="0" readingOrder="0"/>
      <border diagonalUp="0" diagonalDown="0">
        <left/>
        <right style="medium">
          <color theme="6" tint="0.39994506668294322"/>
        </right>
        <top/>
        <bottom/>
        <vertical style="medium">
          <color theme="6" tint="0.39994506668294322"/>
        </vertical>
        <horizontal style="medium">
          <color theme="6" tint="0.39994506668294322"/>
        </horizontal>
      </border>
    </dxf>
    <dxf>
      <font>
        <strike val="0"/>
        <outline val="0"/>
        <shadow val="0"/>
        <vertAlign val="baseline"/>
        <name val="Malgun Gothic"/>
        <family val="2"/>
      </font>
      <alignment horizontal="left" vertical="center" textRotation="0" wrapText="0" relativeIndent="-1" justifyLastLine="0" shrinkToFit="0" readingOrder="0"/>
      <border diagonalUp="0" diagonalDown="0">
        <left/>
        <right/>
        <top style="medium">
          <color theme="6" tint="0.39994506668294322"/>
        </top>
        <bottom style="medium">
          <color theme="6" tint="0.39994506668294322"/>
        </bottom>
      </border>
    </dxf>
    <dxf>
      <border>
        <top style="medium">
          <color theme="6" tint="0.39994506668294322"/>
        </top>
      </border>
    </dxf>
    <dxf>
      <font>
        <strike val="0"/>
        <outline val="0"/>
        <shadow val="0"/>
        <vertAlign val="baseline"/>
        <name val="Malgun Gothic"/>
        <family val="2"/>
      </font>
      <border diagonalUp="0" diagonalDown="0">
        <left style="medium">
          <color theme="6" tint="0.39994506668294322"/>
        </left>
        <right style="medium">
          <color theme="6" tint="0.39994506668294322"/>
        </right>
        <top/>
        <bottom/>
        <vertical style="medium">
          <color theme="6" tint="0.39994506668294322"/>
        </vertical>
        <horizontal style="medium">
          <color theme="6" tint="0.39994506668294322"/>
        </horizontal>
      </border>
    </dxf>
    <dxf>
      <border diagonalUp="0" diagonalDown="0">
        <left style="medium">
          <color theme="6" tint="0.39994506668294322"/>
        </left>
        <right style="medium">
          <color theme="6" tint="0.39994506668294322"/>
        </right>
        <top style="medium">
          <color theme="6" tint="0.39994506668294322"/>
        </top>
        <bottom style="medium">
          <color theme="6" tint="0.39994506668294322"/>
        </bottom>
      </border>
    </dxf>
    <dxf>
      <font>
        <strike val="0"/>
        <outline val="0"/>
        <shadow val="0"/>
        <vertAlign val="baseline"/>
        <name val="Malgun Gothic"/>
        <family val="2"/>
      </font>
    </dxf>
    <dxf>
      <border>
        <bottom style="medium">
          <color theme="6" tint="0.39994506668294322"/>
        </bottom>
      </border>
    </dxf>
    <dxf>
      <font>
        <strike val="0"/>
        <outline val="0"/>
        <shadow val="0"/>
        <vertAlign val="baseline"/>
        <name val="Malgun Gothic"/>
        <family val="2"/>
      </font>
      <border diagonalUp="0" diagonalDown="0">
        <left style="medium">
          <color theme="6" tint="0.39994506668294322"/>
        </left>
        <right style="medium">
          <color theme="6" tint="0.39994506668294322"/>
        </right>
        <top/>
        <bottom/>
        <vertical style="medium">
          <color theme="6" tint="0.39994506668294322"/>
        </vertical>
        <horizontal style="medium">
          <color theme="6" tint="0.39994506668294322"/>
        </horizontal>
      </border>
    </dxf>
    <dxf>
      <font>
        <strike val="0"/>
        <outline val="0"/>
        <shadow val="0"/>
        <vertAlign val="baseline"/>
        <name val="Malgun Gothic"/>
        <family val="2"/>
      </font>
    </dxf>
    <dxf>
      <font>
        <strike val="0"/>
        <outline val="0"/>
        <shadow val="0"/>
        <vertAlign val="baseline"/>
        <name val="Malgun Gothic"/>
        <family val="2"/>
      </font>
      <numFmt numFmtId="176" formatCode="&quot;₩&quot;#,##0.00_);[Red]\(&quot;₩&quot;#,##0.00\)"/>
      <fill>
        <patternFill patternType="solid">
          <fgColor indexed="64"/>
          <bgColor theme="6" tint="0.79998168889431442"/>
        </patternFill>
      </fill>
      <alignment horizontal="right" vertical="center" textRotation="0" wrapText="0" indent="0" justifyLastLine="0" shrinkToFit="0" readingOrder="0"/>
      <border diagonalUp="0" diagonalDown="0">
        <left style="medium">
          <color theme="6" tint="0.39994506668294322"/>
        </left>
        <right/>
        <top style="medium">
          <color theme="6" tint="0.39994506668294322"/>
        </top>
        <bottom style="medium">
          <color theme="6" tint="0.39994506668294322"/>
        </bottom>
      </border>
    </dxf>
    <dxf>
      <font>
        <strike val="0"/>
        <outline val="0"/>
        <shadow val="0"/>
        <vertAlign val="baseline"/>
        <name val="Malgun Gothic"/>
        <family val="2"/>
      </font>
    </dxf>
    <dxf>
      <font>
        <strike val="0"/>
        <outline val="0"/>
        <shadow val="0"/>
        <vertAlign val="baseline"/>
        <name val="Malgun Gothic"/>
        <family val="2"/>
      </font>
      <numFmt numFmtId="176" formatCode="&quot;₩&quot;#,##0.00_);[Red]\(&quot;₩&quot;#,##0.00\)"/>
      <fill>
        <patternFill patternType="solid">
          <fgColor indexed="64"/>
          <bgColor theme="0"/>
        </patternFill>
      </fill>
      <alignment horizontal="right" vertical="center" textRotation="0" wrapText="0" indent="0" justifyLastLine="0" shrinkToFit="0" readingOrder="0"/>
      <border diagonalUp="0" diagonalDown="0">
        <left style="medium">
          <color theme="6" tint="0.39994506668294322"/>
        </left>
        <right style="medium">
          <color theme="6" tint="0.39994506668294322"/>
        </right>
        <top style="medium">
          <color theme="6" tint="0.39994506668294322"/>
        </top>
        <bottom style="medium">
          <color theme="6" tint="0.39994506668294322"/>
        </bottom>
      </border>
    </dxf>
    <dxf>
      <font>
        <strike val="0"/>
        <outline val="0"/>
        <shadow val="0"/>
        <vertAlign val="baseline"/>
        <name val="Malgun Gothic"/>
        <family val="2"/>
      </font>
    </dxf>
    <dxf>
      <font>
        <strike val="0"/>
        <outline val="0"/>
        <shadow val="0"/>
        <vertAlign val="baseline"/>
        <name val="Malgun Gothic"/>
        <family val="2"/>
      </font>
      <numFmt numFmtId="176" formatCode="&quot;₩&quot;#,##0.00_);[Red]\(&quot;₩&quot;#,##0.00\)"/>
      <fill>
        <patternFill patternType="solid">
          <fgColor indexed="64"/>
          <bgColor theme="0"/>
        </patternFill>
      </fill>
      <alignment horizontal="right" vertical="center" textRotation="0" wrapText="0" indent="0" justifyLastLine="0" shrinkToFit="0" readingOrder="0"/>
      <border diagonalUp="0" diagonalDown="0">
        <left style="medium">
          <color theme="6" tint="0.39994506668294322"/>
        </left>
        <right style="medium">
          <color theme="6" tint="0.39994506668294322"/>
        </right>
        <top style="medium">
          <color theme="6" tint="0.39994506668294322"/>
        </top>
        <bottom style="medium">
          <color theme="6" tint="0.39994506668294322"/>
        </bottom>
      </border>
    </dxf>
    <dxf>
      <font>
        <strike val="0"/>
        <outline val="0"/>
        <shadow val="0"/>
        <vertAlign val="baseline"/>
        <name val="Malgun Gothic"/>
        <family val="2"/>
      </font>
    </dxf>
    <dxf>
      <font>
        <strike val="0"/>
        <outline val="0"/>
        <shadow val="0"/>
        <vertAlign val="baseline"/>
        <name val="Malgun Gothic"/>
        <family val="2"/>
      </font>
      <numFmt numFmtId="176" formatCode="&quot;₩&quot;#,##0.00_);[Red]\(&quot;₩&quot;#,##0.00\)"/>
      <fill>
        <patternFill patternType="solid">
          <fgColor indexed="64"/>
          <bgColor theme="0"/>
        </patternFill>
      </fill>
      <alignment horizontal="right" vertical="center" textRotation="0" wrapText="0" indent="0" justifyLastLine="0" shrinkToFit="0" readingOrder="0"/>
      <border diagonalUp="0" diagonalDown="0">
        <left style="medium">
          <color theme="6" tint="0.39994506668294322"/>
        </left>
        <right style="medium">
          <color theme="6" tint="0.39994506668294322"/>
        </right>
        <top style="medium">
          <color theme="6" tint="0.39994506668294322"/>
        </top>
        <bottom style="medium">
          <color theme="6" tint="0.39994506668294322"/>
        </bottom>
      </border>
    </dxf>
    <dxf>
      <font>
        <strike val="0"/>
        <outline val="0"/>
        <shadow val="0"/>
        <vertAlign val="baseline"/>
        <name val="Malgun Gothic"/>
        <family val="2"/>
      </font>
    </dxf>
    <dxf>
      <font>
        <strike val="0"/>
        <outline val="0"/>
        <shadow val="0"/>
        <vertAlign val="baseline"/>
        <name val="Malgun Gothic"/>
        <family val="2"/>
      </font>
      <numFmt numFmtId="176" formatCode="&quot;₩&quot;#,##0.00_);[Red]\(&quot;₩&quot;#,##0.00\)"/>
      <fill>
        <patternFill patternType="solid">
          <fgColor indexed="64"/>
          <bgColor theme="0"/>
        </patternFill>
      </fill>
      <alignment horizontal="right" vertical="center" textRotation="0" wrapText="0" indent="0" justifyLastLine="0" shrinkToFit="0" readingOrder="0"/>
      <border diagonalUp="0" diagonalDown="0">
        <left style="medium">
          <color theme="6" tint="0.39994506668294322"/>
        </left>
        <right style="medium">
          <color theme="6" tint="0.39994506668294322"/>
        </right>
        <top style="medium">
          <color theme="6" tint="0.39994506668294322"/>
        </top>
        <bottom style="medium">
          <color theme="6" tint="0.39994506668294322"/>
        </bottom>
      </border>
    </dxf>
    <dxf>
      <font>
        <strike val="0"/>
        <outline val="0"/>
        <shadow val="0"/>
        <vertAlign val="baseline"/>
        <name val="Malgun Gothic"/>
        <family val="2"/>
      </font>
    </dxf>
    <dxf>
      <font>
        <strike val="0"/>
        <outline val="0"/>
        <shadow val="0"/>
        <vertAlign val="baseline"/>
        <name val="Malgun Gothic"/>
        <family val="2"/>
      </font>
      <numFmt numFmtId="176" formatCode="&quot;₩&quot;#,##0.00_);[Red]\(&quot;₩&quot;#,##0.00\)"/>
      <fill>
        <patternFill patternType="solid">
          <fgColor indexed="64"/>
          <bgColor theme="0"/>
        </patternFill>
      </fill>
      <alignment horizontal="right" vertical="center" textRotation="0" wrapText="0" indent="0" justifyLastLine="0" shrinkToFit="0" readingOrder="0"/>
      <border diagonalUp="0" diagonalDown="0">
        <left style="medium">
          <color theme="6" tint="0.39994506668294322"/>
        </left>
        <right style="medium">
          <color theme="6" tint="0.39994506668294322"/>
        </right>
        <top style="medium">
          <color theme="6" tint="0.39994506668294322"/>
        </top>
        <bottom style="medium">
          <color theme="6" tint="0.39994506668294322"/>
        </bottom>
      </border>
    </dxf>
    <dxf>
      <font>
        <strike val="0"/>
        <outline val="0"/>
        <shadow val="0"/>
        <vertAlign val="baseline"/>
        <name val="Malgun Gothic"/>
        <family val="2"/>
      </font>
    </dxf>
    <dxf>
      <font>
        <strike val="0"/>
        <outline val="0"/>
        <shadow val="0"/>
        <vertAlign val="baseline"/>
        <name val="Malgun Gothic"/>
        <family val="2"/>
      </font>
      <numFmt numFmtId="176" formatCode="&quot;₩&quot;#,##0.00_);[Red]\(&quot;₩&quot;#,##0.00\)"/>
      <fill>
        <patternFill patternType="solid">
          <fgColor indexed="64"/>
          <bgColor theme="0"/>
        </patternFill>
      </fill>
      <alignment horizontal="right" vertical="center" textRotation="0" wrapText="0" indent="0" justifyLastLine="0" shrinkToFit="0" readingOrder="0"/>
      <border diagonalUp="0" diagonalDown="0">
        <left style="medium">
          <color theme="6" tint="0.39994506668294322"/>
        </left>
        <right style="medium">
          <color theme="6" tint="0.39994506668294322"/>
        </right>
        <top style="medium">
          <color theme="6" tint="0.39994506668294322"/>
        </top>
        <bottom style="medium">
          <color theme="6" tint="0.39994506668294322"/>
        </bottom>
      </border>
    </dxf>
    <dxf>
      <font>
        <strike val="0"/>
        <outline val="0"/>
        <shadow val="0"/>
        <vertAlign val="baseline"/>
        <name val="Malgun Gothic"/>
        <family val="2"/>
      </font>
    </dxf>
    <dxf>
      <font>
        <strike val="0"/>
        <outline val="0"/>
        <shadow val="0"/>
        <vertAlign val="baseline"/>
        <name val="Malgun Gothic"/>
        <family val="2"/>
      </font>
      <numFmt numFmtId="176" formatCode="&quot;₩&quot;#,##0.00_);[Red]\(&quot;₩&quot;#,##0.00\)"/>
      <fill>
        <patternFill patternType="solid">
          <fgColor indexed="64"/>
          <bgColor theme="0"/>
        </patternFill>
      </fill>
      <alignment horizontal="right" vertical="center" textRotation="0" wrapText="0" indent="0" justifyLastLine="0" shrinkToFit="0" readingOrder="0"/>
      <border diagonalUp="0" diagonalDown="0">
        <left style="medium">
          <color theme="6" tint="0.39994506668294322"/>
        </left>
        <right style="medium">
          <color theme="6" tint="0.39994506668294322"/>
        </right>
        <top style="medium">
          <color theme="6" tint="0.39994506668294322"/>
        </top>
        <bottom style="medium">
          <color theme="6" tint="0.39994506668294322"/>
        </bottom>
      </border>
    </dxf>
    <dxf>
      <font>
        <strike val="0"/>
        <outline val="0"/>
        <shadow val="0"/>
        <vertAlign val="baseline"/>
        <name val="Malgun Gothic"/>
        <family val="2"/>
      </font>
    </dxf>
    <dxf>
      <font>
        <strike val="0"/>
        <outline val="0"/>
        <shadow val="0"/>
        <vertAlign val="baseline"/>
        <name val="Malgun Gothic"/>
        <family val="2"/>
      </font>
      <numFmt numFmtId="176" formatCode="&quot;₩&quot;#,##0.00_);[Red]\(&quot;₩&quot;#,##0.00\)"/>
      <fill>
        <patternFill patternType="solid">
          <fgColor indexed="64"/>
          <bgColor theme="0"/>
        </patternFill>
      </fill>
      <alignment horizontal="right" vertical="center" textRotation="0" wrapText="0" indent="0" justifyLastLine="0" shrinkToFit="0" readingOrder="0"/>
      <border diagonalUp="0" diagonalDown="0">
        <left style="medium">
          <color theme="6" tint="0.39994506668294322"/>
        </left>
        <right style="medium">
          <color theme="6" tint="0.39994506668294322"/>
        </right>
        <top style="medium">
          <color theme="6" tint="0.39994506668294322"/>
        </top>
        <bottom style="medium">
          <color theme="6" tint="0.39994506668294322"/>
        </bottom>
      </border>
    </dxf>
    <dxf>
      <font>
        <strike val="0"/>
        <outline val="0"/>
        <shadow val="0"/>
        <vertAlign val="baseline"/>
        <name val="Malgun Gothic"/>
        <family val="2"/>
      </font>
    </dxf>
    <dxf>
      <font>
        <strike val="0"/>
        <outline val="0"/>
        <shadow val="0"/>
        <vertAlign val="baseline"/>
        <name val="Malgun Gothic"/>
        <family val="2"/>
      </font>
      <numFmt numFmtId="176" formatCode="&quot;₩&quot;#,##0.00_);[Red]\(&quot;₩&quot;#,##0.00\)"/>
      <fill>
        <patternFill patternType="solid">
          <fgColor indexed="64"/>
          <bgColor theme="0"/>
        </patternFill>
      </fill>
      <alignment horizontal="right" vertical="center" textRotation="0" wrapText="0" indent="0" justifyLastLine="0" shrinkToFit="0" readingOrder="0"/>
      <border diagonalUp="0" diagonalDown="0">
        <left style="medium">
          <color theme="6" tint="0.39994506668294322"/>
        </left>
        <right style="medium">
          <color theme="6" tint="0.39994506668294322"/>
        </right>
        <top style="medium">
          <color theme="6" tint="0.39994506668294322"/>
        </top>
        <bottom style="medium">
          <color theme="6" tint="0.39994506668294322"/>
        </bottom>
      </border>
    </dxf>
    <dxf>
      <font>
        <strike val="0"/>
        <outline val="0"/>
        <shadow val="0"/>
        <vertAlign val="baseline"/>
        <name val="Malgun Gothic"/>
        <family val="2"/>
      </font>
    </dxf>
    <dxf>
      <font>
        <strike val="0"/>
        <outline val="0"/>
        <shadow val="0"/>
        <vertAlign val="baseline"/>
        <name val="Malgun Gothic"/>
        <family val="2"/>
      </font>
      <numFmt numFmtId="176" formatCode="&quot;₩&quot;#,##0.00_);[Red]\(&quot;₩&quot;#,##0.00\)"/>
      <fill>
        <patternFill patternType="solid">
          <fgColor indexed="64"/>
          <bgColor theme="0"/>
        </patternFill>
      </fill>
      <alignment horizontal="right" vertical="center" textRotation="0" wrapText="0" indent="0" justifyLastLine="0" shrinkToFit="0" readingOrder="0"/>
      <border diagonalUp="0" diagonalDown="0">
        <left style="medium">
          <color theme="6" tint="0.39994506668294322"/>
        </left>
        <right style="medium">
          <color theme="6" tint="0.39994506668294322"/>
        </right>
        <top style="medium">
          <color theme="6" tint="0.39994506668294322"/>
        </top>
        <bottom style="medium">
          <color theme="6" tint="0.39994506668294322"/>
        </bottom>
      </border>
    </dxf>
    <dxf>
      <font>
        <strike val="0"/>
        <outline val="0"/>
        <shadow val="0"/>
        <vertAlign val="baseline"/>
        <name val="Malgun Gothic"/>
        <family val="2"/>
      </font>
    </dxf>
    <dxf>
      <font>
        <strike val="0"/>
        <outline val="0"/>
        <shadow val="0"/>
        <vertAlign val="baseline"/>
        <name val="Malgun Gothic"/>
        <family val="2"/>
      </font>
      <numFmt numFmtId="176" formatCode="&quot;₩&quot;#,##0.00_);[Red]\(&quot;₩&quot;#,##0.00\)"/>
      <fill>
        <patternFill patternType="solid">
          <fgColor indexed="64"/>
          <bgColor theme="0"/>
        </patternFill>
      </fill>
      <alignment horizontal="right" vertical="center" textRotation="0" wrapText="0" indent="0" justifyLastLine="0" shrinkToFit="0" readingOrder="0"/>
      <border diagonalUp="0" diagonalDown="0">
        <left style="medium">
          <color theme="6" tint="0.39994506668294322"/>
        </left>
        <right style="medium">
          <color theme="6" tint="0.39994506668294322"/>
        </right>
        <top style="medium">
          <color theme="6" tint="0.39994506668294322"/>
        </top>
        <bottom style="medium">
          <color theme="6" tint="0.39994506668294322"/>
        </bottom>
      </border>
    </dxf>
    <dxf>
      <font>
        <strike val="0"/>
        <outline val="0"/>
        <shadow val="0"/>
        <vertAlign val="baseline"/>
        <name val="Malgun Gothic"/>
        <family val="2"/>
      </font>
    </dxf>
    <dxf>
      <font>
        <strike val="0"/>
        <outline val="0"/>
        <shadow val="0"/>
        <vertAlign val="baseline"/>
        <name val="Malgun Gothic"/>
        <family val="2"/>
      </font>
      <numFmt numFmtId="176" formatCode="&quot;₩&quot;#,##0.00_);[Red]\(&quot;₩&quot;#,##0.00\)"/>
      <fill>
        <patternFill patternType="solid">
          <fgColor indexed="64"/>
          <bgColor theme="0"/>
        </patternFill>
      </fill>
      <alignment horizontal="right" vertical="center" textRotation="0" wrapText="0" indent="0" justifyLastLine="0" shrinkToFit="0" readingOrder="0"/>
      <border diagonalUp="0" diagonalDown="0">
        <left/>
        <right style="medium">
          <color theme="6" tint="0.39994506668294322"/>
        </right>
        <top style="medium">
          <color theme="6" tint="0.39994506668294322"/>
        </top>
        <bottom style="medium">
          <color theme="6" tint="0.39994506668294322"/>
        </bottom>
      </border>
    </dxf>
    <dxf>
      <font>
        <b/>
        <strike val="0"/>
        <outline val="0"/>
        <shadow val="0"/>
        <u val="none"/>
        <vertAlign val="baseline"/>
        <sz val="10"/>
        <color auto="1"/>
        <name val="Malgun Gothic"/>
        <family val="2"/>
        <scheme val="minor"/>
      </font>
      <fill>
        <patternFill patternType="solid">
          <fgColor indexed="64"/>
          <bgColor theme="6" tint="0.79998168889431442"/>
        </patternFill>
      </fill>
      <alignment horizontal="left" vertical="center" textRotation="0" wrapText="0" indent="2" justifyLastLine="0" shrinkToFit="0" readingOrder="0"/>
      <border diagonalUp="0" diagonalDown="0">
        <left/>
        <right style="medium">
          <color theme="6" tint="0.39994506668294322"/>
        </right>
        <top/>
        <bottom/>
      </border>
    </dxf>
    <dxf>
      <font>
        <b/>
        <strike val="0"/>
        <outline val="0"/>
        <shadow val="0"/>
        <u val="none"/>
        <vertAlign val="baseline"/>
        <sz val="10"/>
        <color theme="0"/>
        <name val="Malgun Gothic"/>
        <family val="2"/>
        <scheme val="minor"/>
      </font>
      <fill>
        <patternFill patternType="solid">
          <fgColor indexed="64"/>
          <bgColor theme="3"/>
        </patternFill>
      </fill>
      <alignment horizontal="left" vertical="center" textRotation="0" wrapText="0" relativeIndent="-1" justifyLastLine="0" shrinkToFit="0" readingOrder="0"/>
      <border diagonalUp="0" diagonalDown="0">
        <left/>
        <right/>
        <top style="medium">
          <color theme="6" tint="0.39994506668294322"/>
        </top>
        <bottom style="medium">
          <color theme="6" tint="0.39994506668294322"/>
        </bottom>
      </border>
    </dxf>
    <dxf>
      <border>
        <top style="medium">
          <color theme="6" tint="0.39994506668294322"/>
        </top>
      </border>
    </dxf>
    <dxf>
      <font>
        <strike val="0"/>
        <outline val="0"/>
        <shadow val="0"/>
        <vertAlign val="baseline"/>
        <name val="Malgun Gothic"/>
        <family val="2"/>
      </font>
      <border diagonalUp="0" diagonalDown="0">
        <left style="medium">
          <color theme="6" tint="0.39994506668294322"/>
        </left>
        <right style="medium">
          <color theme="6" tint="0.39994506668294322"/>
        </right>
        <top/>
        <bottom/>
        <vertical style="medium">
          <color theme="6" tint="0.39994506668294322"/>
        </vertical>
        <horizontal style="medium">
          <color theme="6" tint="0.39994506668294322"/>
        </horizontal>
      </border>
    </dxf>
    <dxf>
      <border diagonalUp="0" diagonalDown="0">
        <left style="medium">
          <color theme="6" tint="0.39994506668294322"/>
        </left>
        <right style="medium">
          <color theme="6" tint="0.39994506668294322"/>
        </right>
        <top style="medium">
          <color theme="6" tint="0.39994506668294322"/>
        </top>
        <bottom style="medium">
          <color theme="6" tint="0.39994506668294322"/>
        </bottom>
      </border>
    </dxf>
    <dxf>
      <font>
        <strike val="0"/>
        <outline val="0"/>
        <shadow val="0"/>
        <vertAlign val="baseline"/>
        <name val="Malgun Gothic"/>
        <family val="2"/>
      </font>
    </dxf>
    <dxf>
      <border>
        <bottom style="medium">
          <color theme="6" tint="0.39994506668294322"/>
        </bottom>
      </border>
    </dxf>
    <dxf>
      <font>
        <strike val="0"/>
        <outline val="0"/>
        <shadow val="0"/>
        <vertAlign val="baseline"/>
        <name val="Malgun Gothic"/>
        <family val="2"/>
      </font>
      <border diagonalUp="0" diagonalDown="0">
        <left style="medium">
          <color theme="6" tint="0.39994506668294322"/>
        </left>
        <right style="medium">
          <color theme="6" tint="0.39994506668294322"/>
        </right>
        <top/>
        <bottom/>
        <vertical style="medium">
          <color theme="6" tint="0.39994506668294322"/>
        </vertical>
        <horizontal style="medium">
          <color theme="6" tint="0.39994506668294322"/>
        </horizontal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Malgun Gothic"/>
        <family val="3"/>
        <charset val="129"/>
        <scheme val="minor"/>
      </font>
      <numFmt numFmtId="176" formatCode="&quot;₩&quot;#,##0.00_);[Red]\(&quot;₩&quot;#,##0.00\)"/>
      <fill>
        <patternFill patternType="solid">
          <fgColor indexed="64"/>
          <bgColor theme="6" tint="0.79998168889431442"/>
        </patternFill>
      </fill>
      <alignment horizontal="right" vertical="center" textRotation="0" wrapText="0" indent="0" justifyLastLine="0" shrinkToFit="0" readingOrder="0"/>
      <border diagonalUp="0" diagonalDown="0" outline="0">
        <left style="medium">
          <color theme="6" tint="0.39997558519241921"/>
        </left>
        <right style="medium">
          <color theme="6" tint="0.39997558519241921"/>
        </right>
        <top style="medium">
          <color theme="6" tint="0.3999755851924192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Malgun Gothic"/>
        <family val="2"/>
        <scheme val="minor"/>
      </font>
      <numFmt numFmtId="176" formatCode="&quot;₩&quot;#,##0.00_);[Red]\(&quot;₩&quot;#,##0.00\)"/>
      <fill>
        <patternFill patternType="solid">
          <fgColor indexed="64"/>
          <bgColor theme="6" tint="0.79998168889431442"/>
        </patternFill>
      </fill>
      <alignment horizontal="right" vertical="center" textRotation="0" wrapText="0" indent="0" justifyLastLine="0" shrinkToFit="0" readingOrder="0"/>
      <border diagonalUp="0" diagonalDown="0">
        <left style="medium">
          <color theme="6" tint="0.39997558519241921"/>
        </left>
        <right style="medium">
          <color theme="6" tint="0.39997558519241921"/>
        </right>
        <top style="medium">
          <color theme="6" tint="0.39997558519241921"/>
        </top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Malgun Gothic"/>
        <family val="3"/>
        <charset val="129"/>
        <scheme val="minor"/>
      </font>
      <fill>
        <patternFill patternType="solid">
          <fgColor indexed="64"/>
          <bgColor theme="6" tint="0.79998168889431442"/>
        </patternFill>
      </fill>
      <alignment horizontal="right" vertical="center" textRotation="0" wrapText="0" indent="0" justifyLastLine="0" shrinkToFit="0" readingOrder="0"/>
      <border diagonalUp="0" diagonalDown="0" outline="0">
        <left style="medium">
          <color theme="6" tint="0.39997558519241921"/>
        </left>
        <right style="medium">
          <color theme="6" tint="0.39997558519241921"/>
        </right>
        <top style="medium">
          <color theme="6" tint="0.3999755851924192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Malgun Gothic"/>
        <family val="2"/>
        <scheme val="minor"/>
      </font>
      <numFmt numFmtId="176" formatCode="&quot;₩&quot;#,##0.00_);[Red]\(&quot;₩&quot;#,##0.00\)"/>
      <fill>
        <patternFill patternType="solid">
          <fgColor indexed="64"/>
          <bgColor theme="6" tint="0.79998168889431442"/>
        </patternFill>
      </fill>
      <alignment horizontal="right" vertical="center" textRotation="0" wrapText="0" indent="0" justifyLastLine="0" shrinkToFit="0" readingOrder="0"/>
      <border diagonalUp="0" diagonalDown="0">
        <left style="medium">
          <color theme="6" tint="0.39997558519241921"/>
        </left>
        <right style="medium">
          <color theme="6" tint="0.39997558519241921"/>
        </right>
        <top style="medium">
          <color theme="6" tint="0.39997558519241921"/>
        </top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Malgun Gothic"/>
        <family val="3"/>
        <charset val="129"/>
        <scheme val="minor"/>
      </font>
      <fill>
        <patternFill patternType="solid">
          <fgColor indexed="64"/>
          <bgColor theme="6" tint="0.79998168889431442"/>
        </patternFill>
      </fill>
      <alignment horizontal="right" vertical="center" textRotation="0" wrapText="0" indent="0" justifyLastLine="0" shrinkToFit="0" readingOrder="0"/>
      <border diagonalUp="0" diagonalDown="0" outline="0">
        <left style="medium">
          <color theme="6" tint="0.39997558519241921"/>
        </left>
        <right style="medium">
          <color theme="6" tint="0.39997558519241921"/>
        </right>
        <top style="medium">
          <color theme="6" tint="0.3999755851924192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Malgun Gothic"/>
        <family val="2"/>
        <scheme val="minor"/>
      </font>
      <numFmt numFmtId="176" formatCode="&quot;₩&quot;#,##0.00_);[Red]\(&quot;₩&quot;#,##0.00\)"/>
      <fill>
        <patternFill patternType="solid">
          <fgColor indexed="64"/>
          <bgColor theme="6" tint="0.79998168889431442"/>
        </patternFill>
      </fill>
      <alignment horizontal="right" vertical="center" textRotation="0" wrapText="0" indent="0" justifyLastLine="0" shrinkToFit="0" readingOrder="0"/>
      <border diagonalUp="0" diagonalDown="0">
        <left style="medium">
          <color theme="6" tint="0.39997558519241921"/>
        </left>
        <right style="medium">
          <color theme="6" tint="0.39997558519241921"/>
        </right>
        <top style="medium">
          <color theme="6" tint="0.39997558519241921"/>
        </top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Malgun Gothic"/>
        <family val="3"/>
        <charset val="129"/>
        <scheme val="minor"/>
      </font>
      <fill>
        <patternFill patternType="solid">
          <fgColor indexed="64"/>
          <bgColor theme="6" tint="0.79998168889431442"/>
        </patternFill>
      </fill>
      <alignment horizontal="right" vertical="center" textRotation="0" wrapText="0" indent="0" justifyLastLine="0" shrinkToFit="0" readingOrder="0"/>
      <border diagonalUp="0" diagonalDown="0" outline="0">
        <left style="medium">
          <color theme="6" tint="0.39997558519241921"/>
        </left>
        <right style="medium">
          <color theme="6" tint="0.39997558519241921"/>
        </right>
        <top style="medium">
          <color theme="6" tint="0.3999755851924192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Malgun Gothic"/>
        <family val="2"/>
        <scheme val="minor"/>
      </font>
      <numFmt numFmtId="176" formatCode="&quot;₩&quot;#,##0.00_);[Red]\(&quot;₩&quot;#,##0.00\)"/>
      <fill>
        <patternFill patternType="solid">
          <fgColor indexed="64"/>
          <bgColor theme="6" tint="0.79998168889431442"/>
        </patternFill>
      </fill>
      <alignment horizontal="right" vertical="center" textRotation="0" wrapText="0" indent="0" justifyLastLine="0" shrinkToFit="0" readingOrder="0"/>
      <border diagonalUp="0" diagonalDown="0">
        <left style="medium">
          <color theme="6" tint="0.39997558519241921"/>
        </left>
        <right style="medium">
          <color theme="6" tint="0.39997558519241921"/>
        </right>
        <top style="medium">
          <color theme="6" tint="0.39997558519241921"/>
        </top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Malgun Gothic"/>
        <family val="3"/>
        <charset val="129"/>
        <scheme val="minor"/>
      </font>
      <fill>
        <patternFill patternType="solid">
          <fgColor indexed="64"/>
          <bgColor theme="6" tint="0.79998168889431442"/>
        </patternFill>
      </fill>
      <alignment horizontal="right" vertical="center" textRotation="0" wrapText="0" indent="0" justifyLastLine="0" shrinkToFit="0" readingOrder="0"/>
      <border diagonalUp="0" diagonalDown="0" outline="0">
        <left style="medium">
          <color theme="6" tint="0.39997558519241921"/>
        </left>
        <right style="medium">
          <color theme="6" tint="0.39997558519241921"/>
        </right>
        <top style="medium">
          <color theme="6" tint="0.3999755851924192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Malgun Gothic"/>
        <family val="2"/>
        <scheme val="minor"/>
      </font>
      <numFmt numFmtId="176" formatCode="&quot;₩&quot;#,##0.00_);[Red]\(&quot;₩&quot;#,##0.00\)"/>
      <fill>
        <patternFill patternType="solid">
          <fgColor indexed="64"/>
          <bgColor theme="6" tint="0.79998168889431442"/>
        </patternFill>
      </fill>
      <alignment horizontal="right" vertical="center" textRotation="0" wrapText="0" indent="0" justifyLastLine="0" shrinkToFit="0" readingOrder="0"/>
      <border diagonalUp="0" diagonalDown="0">
        <left style="medium">
          <color theme="6" tint="0.39997558519241921"/>
        </left>
        <right style="medium">
          <color theme="6" tint="0.39997558519241921"/>
        </right>
        <top style="medium">
          <color theme="6" tint="0.39997558519241921"/>
        </top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Malgun Gothic"/>
        <family val="3"/>
        <charset val="129"/>
        <scheme val="minor"/>
      </font>
      <fill>
        <patternFill patternType="solid">
          <fgColor indexed="64"/>
          <bgColor theme="6" tint="0.79998168889431442"/>
        </patternFill>
      </fill>
      <alignment horizontal="right" vertical="center" textRotation="0" wrapText="0" indent="0" justifyLastLine="0" shrinkToFit="0" readingOrder="0"/>
      <border diagonalUp="0" diagonalDown="0" outline="0">
        <left style="medium">
          <color theme="6" tint="0.39997558519241921"/>
        </left>
        <right style="medium">
          <color theme="6" tint="0.39997558519241921"/>
        </right>
        <top style="medium">
          <color theme="6" tint="0.3999755851924192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Malgun Gothic"/>
        <family val="2"/>
        <scheme val="minor"/>
      </font>
      <numFmt numFmtId="176" formatCode="&quot;₩&quot;#,##0.00_);[Red]\(&quot;₩&quot;#,##0.00\)"/>
      <fill>
        <patternFill patternType="solid">
          <fgColor indexed="64"/>
          <bgColor theme="6" tint="0.79998168889431442"/>
        </patternFill>
      </fill>
      <alignment horizontal="right" vertical="center" textRotation="0" wrapText="0" indent="0" justifyLastLine="0" shrinkToFit="0" readingOrder="0"/>
      <border diagonalUp="0" diagonalDown="0">
        <left style="medium">
          <color theme="6" tint="0.39997558519241921"/>
        </left>
        <right style="medium">
          <color theme="6" tint="0.39997558519241921"/>
        </right>
        <top style="medium">
          <color theme="6" tint="0.39997558519241921"/>
        </top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Malgun Gothic"/>
        <family val="3"/>
        <charset val="129"/>
        <scheme val="minor"/>
      </font>
      <fill>
        <patternFill patternType="solid">
          <fgColor indexed="64"/>
          <bgColor theme="6" tint="0.79998168889431442"/>
        </patternFill>
      </fill>
      <alignment horizontal="right" vertical="center" textRotation="0" wrapText="0" indent="0" justifyLastLine="0" shrinkToFit="0" readingOrder="0"/>
      <border diagonalUp="0" diagonalDown="0" outline="0">
        <left style="medium">
          <color theme="6" tint="0.39997558519241921"/>
        </left>
        <right style="medium">
          <color theme="6" tint="0.39997558519241921"/>
        </right>
        <top style="medium">
          <color theme="6" tint="0.3999755851924192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Malgun Gothic"/>
        <family val="2"/>
        <scheme val="minor"/>
      </font>
      <numFmt numFmtId="176" formatCode="&quot;₩&quot;#,##0.00_);[Red]\(&quot;₩&quot;#,##0.00\)"/>
      <fill>
        <patternFill patternType="solid">
          <fgColor indexed="64"/>
          <bgColor theme="6" tint="0.79998168889431442"/>
        </patternFill>
      </fill>
      <alignment horizontal="right" vertical="center" textRotation="0" wrapText="0" indent="0" justifyLastLine="0" shrinkToFit="0" readingOrder="0"/>
      <border diagonalUp="0" diagonalDown="0">
        <left style="medium">
          <color theme="6" tint="0.39997558519241921"/>
        </left>
        <right style="medium">
          <color theme="6" tint="0.39997558519241921"/>
        </right>
        <top style="medium">
          <color theme="6" tint="0.39997558519241921"/>
        </top>
        <bottom style="medium">
          <color theme="6" tint="0.39997558519241921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Malgun Gothic"/>
        <family val="3"/>
        <charset val="129"/>
        <scheme val="minor"/>
      </font>
      <fill>
        <patternFill patternType="solid">
          <fgColor indexed="64"/>
          <bgColor theme="6" tint="0.79998168889431442"/>
        </patternFill>
      </fill>
      <alignment horizontal="right" vertical="center" textRotation="0" wrapText="0" indent="0" justifyLastLine="0" shrinkToFit="0" readingOrder="0"/>
      <border diagonalUp="0" diagonalDown="0" outline="0">
        <left style="medium">
          <color theme="6" tint="0.39997558519241921"/>
        </left>
        <right style="medium">
          <color theme="6" tint="0.39997558519241921"/>
        </right>
        <top style="medium">
          <color theme="6" tint="0.3999755851924192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Malgun Gothic"/>
        <family val="2"/>
        <scheme val="minor"/>
      </font>
      <numFmt numFmtId="176" formatCode="&quot;₩&quot;#,##0.00_);[Red]\(&quot;₩&quot;#,##0.00\)"/>
      <fill>
        <patternFill patternType="solid">
          <fgColor indexed="64"/>
          <bgColor theme="6" tint="0.79998168889431442"/>
        </patternFill>
      </fill>
      <alignment horizontal="right" vertical="center" textRotation="0" wrapText="0" indent="0" justifyLastLine="0" shrinkToFit="0" readingOrder="0"/>
      <border diagonalUp="0" diagonalDown="0">
        <left style="medium">
          <color theme="6" tint="0.39997558519241921"/>
        </left>
        <right style="medium">
          <color theme="6" tint="0.39997558519241921"/>
        </right>
        <top style="medium">
          <color theme="6" tint="0.39997558519241921"/>
        </top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Malgun Gothic"/>
        <family val="3"/>
        <charset val="129"/>
        <scheme val="minor"/>
      </font>
      <fill>
        <patternFill patternType="solid">
          <fgColor indexed="64"/>
          <bgColor theme="6" tint="0.79998168889431442"/>
        </patternFill>
      </fill>
      <alignment horizontal="right" vertical="center" textRotation="0" wrapText="0" indent="0" justifyLastLine="0" shrinkToFit="0" readingOrder="0"/>
      <border diagonalUp="0" diagonalDown="0" outline="0">
        <left style="medium">
          <color theme="6" tint="0.39997558519241921"/>
        </left>
        <right style="medium">
          <color theme="6" tint="0.39997558519241921"/>
        </right>
        <top style="medium">
          <color theme="6" tint="0.3999755851924192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Malgun Gothic"/>
        <family val="2"/>
        <scheme val="minor"/>
      </font>
      <numFmt numFmtId="176" formatCode="&quot;₩&quot;#,##0.00_);[Red]\(&quot;₩&quot;#,##0.00\)"/>
      <fill>
        <patternFill patternType="solid">
          <fgColor indexed="64"/>
          <bgColor theme="6" tint="0.79998168889431442"/>
        </patternFill>
      </fill>
      <alignment horizontal="right" vertical="center" textRotation="0" wrapText="0" indent="0" justifyLastLine="0" shrinkToFit="0" readingOrder="0"/>
      <border diagonalUp="0" diagonalDown="0">
        <left style="medium">
          <color theme="6" tint="0.39997558519241921"/>
        </left>
        <right style="medium">
          <color theme="6" tint="0.39997558519241921"/>
        </right>
        <top style="medium">
          <color theme="6" tint="0.39997558519241921"/>
        </top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Malgun Gothic"/>
        <family val="3"/>
        <charset val="129"/>
        <scheme val="minor"/>
      </font>
      <fill>
        <patternFill patternType="solid">
          <fgColor indexed="64"/>
          <bgColor theme="6" tint="0.79998168889431442"/>
        </patternFill>
      </fill>
      <alignment horizontal="right" vertical="center" textRotation="0" wrapText="0" indent="0" justifyLastLine="0" shrinkToFit="0" readingOrder="0"/>
      <border diagonalUp="0" diagonalDown="0" outline="0">
        <left style="medium">
          <color theme="6" tint="0.39997558519241921"/>
        </left>
        <right style="medium">
          <color theme="6" tint="0.39997558519241921"/>
        </right>
        <top style="medium">
          <color theme="6" tint="0.3999755851924192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Malgun Gothic"/>
        <family val="2"/>
        <scheme val="minor"/>
      </font>
      <numFmt numFmtId="176" formatCode="&quot;₩&quot;#,##0.00_);[Red]\(&quot;₩&quot;#,##0.00\)"/>
      <fill>
        <patternFill patternType="solid">
          <fgColor indexed="64"/>
          <bgColor theme="6" tint="0.79998168889431442"/>
        </patternFill>
      </fill>
      <alignment horizontal="right" vertical="center" textRotation="0" wrapText="0" indent="0" justifyLastLine="0" shrinkToFit="0" readingOrder="0"/>
      <border diagonalUp="0" diagonalDown="0">
        <left style="medium">
          <color theme="6" tint="0.39997558519241921"/>
        </left>
        <right style="medium">
          <color theme="6" tint="0.39997558519241921"/>
        </right>
        <top style="medium">
          <color theme="6" tint="0.39997558519241921"/>
        </top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Malgun Gothic"/>
        <family val="3"/>
        <charset val="129"/>
        <scheme val="minor"/>
      </font>
      <fill>
        <patternFill patternType="solid">
          <fgColor indexed="64"/>
          <bgColor theme="6" tint="0.79998168889431442"/>
        </patternFill>
      </fill>
      <alignment horizontal="right" vertical="center" textRotation="0" wrapText="0" indent="0" justifyLastLine="0" shrinkToFit="0" readingOrder="0"/>
      <border diagonalUp="0" diagonalDown="0" outline="0">
        <left style="medium">
          <color theme="6" tint="0.39997558519241921"/>
        </left>
        <right style="medium">
          <color theme="6" tint="0.39997558519241921"/>
        </right>
        <top style="medium">
          <color theme="6" tint="0.3999755851924192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Malgun Gothic"/>
        <family val="2"/>
        <scheme val="minor"/>
      </font>
      <numFmt numFmtId="176" formatCode="&quot;₩&quot;#,##0.00_);[Red]\(&quot;₩&quot;#,##0.00\)"/>
      <fill>
        <patternFill patternType="solid">
          <fgColor indexed="64"/>
          <bgColor theme="6" tint="0.79998168889431442"/>
        </patternFill>
      </fill>
      <alignment horizontal="right" vertical="center" textRotation="0" wrapText="0" indent="0" justifyLastLine="0" shrinkToFit="0" readingOrder="0"/>
      <border diagonalUp="0" diagonalDown="0">
        <left style="medium">
          <color theme="6" tint="0.39997558519241921"/>
        </left>
        <right style="medium">
          <color theme="6" tint="0.39997558519241921"/>
        </right>
        <top style="medium">
          <color theme="6" tint="0.39997558519241921"/>
        </top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Malgun Gothic"/>
        <family val="3"/>
        <charset val="129"/>
        <scheme val="minor"/>
      </font>
      <fill>
        <patternFill patternType="solid">
          <fgColor indexed="64"/>
          <bgColor theme="6" tint="0.79998168889431442"/>
        </patternFill>
      </fill>
      <alignment horizontal="right" vertical="center" textRotation="0" wrapText="0" indent="0" justifyLastLine="0" shrinkToFit="0" readingOrder="0"/>
      <border diagonalUp="0" diagonalDown="0" outline="0">
        <left style="medium">
          <color theme="6" tint="0.39997558519241921"/>
        </left>
        <right style="medium">
          <color theme="6" tint="0.39997558519241921"/>
        </right>
        <top style="medium">
          <color theme="6" tint="0.3999755851924192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Malgun Gothic"/>
        <family val="2"/>
        <scheme val="minor"/>
      </font>
      <numFmt numFmtId="176" formatCode="&quot;₩&quot;#,##0.00_);[Red]\(&quot;₩&quot;#,##0.00\)"/>
      <fill>
        <patternFill patternType="solid">
          <fgColor indexed="64"/>
          <bgColor theme="6" tint="0.79998168889431442"/>
        </patternFill>
      </fill>
      <alignment horizontal="right" vertical="center" textRotation="0" wrapText="0" indent="0" justifyLastLine="0" shrinkToFit="0" readingOrder="0"/>
      <border diagonalUp="0" diagonalDown="0">
        <left style="medium">
          <color theme="6" tint="0.39997558519241921"/>
        </left>
        <right style="medium">
          <color theme="6" tint="0.39997558519241921"/>
        </right>
        <top style="medium">
          <color theme="6" tint="0.39997558519241921"/>
        </top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Malgun Gothic"/>
        <family val="3"/>
        <charset val="129"/>
        <scheme val="minor"/>
      </font>
      <fill>
        <patternFill patternType="solid">
          <fgColor indexed="64"/>
          <bgColor theme="6" tint="0.79998168889431442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 style="medium">
          <color theme="6" tint="0.39997558519241921"/>
        </right>
        <top style="medium">
          <color theme="6" tint="0.3999755851924192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Malgun Gothic"/>
        <family val="2"/>
        <scheme val="minor"/>
      </font>
      <numFmt numFmtId="176" formatCode="&quot;₩&quot;#,##0.00_);[Red]\(&quot;₩&quot;#,##0.00\)"/>
      <fill>
        <patternFill patternType="solid">
          <fgColor indexed="64"/>
          <bgColor theme="6" tint="0.79998168889431442"/>
        </patternFill>
      </fill>
      <alignment horizontal="right" vertical="center" textRotation="0" wrapText="0" indent="0" justifyLastLine="0" shrinkToFit="0" readingOrder="0"/>
      <border diagonalUp="0" diagonalDown="0">
        <left/>
        <right style="medium">
          <color theme="6" tint="0.39997558519241921"/>
        </right>
        <top style="medium">
          <color theme="6" tint="0.3999755851924192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Malgun Gothic"/>
        <family val="3"/>
        <charset val="129"/>
        <scheme val="minor"/>
      </font>
      <fill>
        <patternFill patternType="solid">
          <fgColor indexed="64"/>
          <bgColor theme="3"/>
        </patternFill>
      </fill>
      <alignment horizontal="left" vertical="center" textRotation="0" wrapText="0" indent="1" justifyLastLine="0" shrinkToFit="0" readingOrder="0"/>
      <border diagonalUp="0" diagonalDown="0" outline="0">
        <left/>
        <right style="medium">
          <color theme="6" tint="0.39997558519241921"/>
        </right>
        <top style="medium">
          <color theme="6" tint="0.3999755851924192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Malgun Gothic"/>
        <family val="2"/>
        <scheme val="minor"/>
      </font>
      <numFmt numFmtId="0" formatCode="General"/>
      <fill>
        <patternFill patternType="solid">
          <fgColor indexed="64"/>
          <bgColor theme="3"/>
        </patternFill>
      </fill>
      <alignment horizontal="left" vertical="center" textRotation="0" wrapText="0" relativeIndent="1" justifyLastLine="0" shrinkToFit="0" readingOrder="0"/>
      <border diagonalUp="0" diagonalDown="0">
        <left/>
        <right style="medium">
          <color theme="6" tint="0.39997558519241921"/>
        </right>
        <top style="medium">
          <color theme="6" tint="0.39997558519241921"/>
        </top>
        <bottom/>
      </border>
    </dxf>
    <dxf>
      <border outline="0">
        <top style="medium">
          <color theme="6" tint="0.39997558519241921"/>
        </top>
      </border>
    </dxf>
    <dxf>
      <font>
        <strike val="0"/>
        <outline val="0"/>
        <shadow val="0"/>
        <vertAlign val="baseline"/>
        <name val="Malgun Gothic"/>
        <family val="2"/>
      </font>
    </dxf>
    <dxf>
      <border outline="0">
        <left style="medium">
          <color theme="6" tint="0.39997558519241921"/>
        </left>
        <bottom style="medium">
          <color theme="6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Malgun Gothic"/>
        <family val="2"/>
        <scheme val="minor"/>
      </font>
      <numFmt numFmtId="0" formatCode="General"/>
      <fill>
        <patternFill patternType="solid">
          <fgColor indexed="64"/>
          <bgColor theme="6" tint="0.79998168889431442"/>
        </patternFill>
      </fill>
      <alignment horizontal="right" vertical="center" textRotation="0" wrapText="0" indent="0" justifyLastLine="0" shrinkToFit="0" readingOrder="0"/>
    </dxf>
    <dxf>
      <border outline="0">
        <bottom style="medium">
          <color theme="6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Malgun Gothic"/>
        <family val="2"/>
        <scheme val="major"/>
      </font>
      <numFmt numFmtId="0" formatCode="General"/>
      <fill>
        <patternFill patternType="solid">
          <fgColor indexed="64"/>
          <bgColor theme="3" tint="-0.499984740745262"/>
        </patternFill>
      </fill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Malgun Gothic"/>
        <family val="2"/>
        <scheme val="minor"/>
      </font>
      <fill>
        <patternFill patternType="solid">
          <fgColor indexed="64"/>
          <bgColor theme="6" tint="0.79998168889431442"/>
        </patternFill>
      </fill>
      <border diagonalUp="0" diagonalDown="0">
        <left style="medium">
          <color theme="6" tint="0.39994506668294322"/>
        </left>
        <right/>
        <top/>
        <bottom/>
      </border>
    </dxf>
    <dxf>
      <font>
        <strike val="0"/>
        <outline val="0"/>
        <shadow val="0"/>
        <u val="none"/>
        <vertAlign val="baseline"/>
        <sz val="9"/>
        <color theme="1"/>
        <name val="Malgun Gothic"/>
        <family val="2"/>
        <scheme val="minor"/>
      </font>
      <numFmt numFmtId="176" formatCode="&quot;₩&quot;#,##0.00_);[Red]\(&quot;₩&quot;#,##0.00\)"/>
      <border diagonalUp="0" diagonalDown="0">
        <left style="medium">
          <color theme="6" tint="0.39994506668294322"/>
        </left>
        <right/>
        <top style="medium">
          <color theme="6" tint="0.39994506668294322"/>
        </top>
        <bottom style="medium">
          <color theme="6" tint="0.39994506668294322"/>
        </bottom>
      </border>
    </dxf>
    <dxf>
      <font>
        <strike val="0"/>
        <outline val="0"/>
        <shadow val="0"/>
        <u val="none"/>
        <vertAlign val="baseline"/>
        <sz val="9"/>
        <color theme="1"/>
        <name val="Malgun Gothic"/>
        <family val="2"/>
        <scheme val="minor"/>
      </font>
      <fill>
        <patternFill patternType="solid">
          <fgColor indexed="64"/>
          <bgColor theme="6" tint="0.79998168889431442"/>
        </patternFill>
      </fill>
      <border diagonalUp="0" diagonalDown="0">
        <left style="medium">
          <color theme="6" tint="0.39994506668294322"/>
        </left>
        <right style="medium">
          <color theme="6" tint="0.39994506668294322"/>
        </right>
        <top/>
        <bottom/>
      </border>
    </dxf>
    <dxf>
      <font>
        <strike val="0"/>
        <outline val="0"/>
        <shadow val="0"/>
        <u val="none"/>
        <vertAlign val="baseline"/>
        <sz val="9"/>
        <color theme="1"/>
        <name val="Malgun Gothic"/>
        <family val="2"/>
        <scheme val="minor"/>
      </font>
      <numFmt numFmtId="176" formatCode="&quot;₩&quot;#,##0.00_);[Red]\(&quot;₩&quot;#,##0.00\)"/>
      <fill>
        <patternFill patternType="solid">
          <fgColor indexed="64"/>
          <bgColor theme="0"/>
        </patternFill>
      </fill>
      <border diagonalUp="0" diagonalDown="0">
        <left style="medium">
          <color theme="6" tint="0.39994506668294322"/>
        </left>
        <right style="medium">
          <color theme="6" tint="0.39994506668294322"/>
        </right>
        <top style="medium">
          <color theme="6" tint="0.39994506668294322"/>
        </top>
        <bottom style="medium">
          <color theme="6" tint="0.39994506668294322"/>
        </bottom>
      </border>
    </dxf>
    <dxf>
      <font>
        <strike val="0"/>
        <outline val="0"/>
        <shadow val="0"/>
        <u val="none"/>
        <vertAlign val="baseline"/>
        <sz val="9"/>
        <color theme="1"/>
        <name val="Malgun Gothic"/>
        <family val="2"/>
        <scheme val="minor"/>
      </font>
      <fill>
        <patternFill patternType="solid">
          <fgColor indexed="64"/>
          <bgColor theme="6" tint="0.79998168889431442"/>
        </patternFill>
      </fill>
      <border diagonalUp="0" diagonalDown="0">
        <left style="medium">
          <color theme="6" tint="0.39994506668294322"/>
        </left>
        <right style="medium">
          <color theme="6" tint="0.39994506668294322"/>
        </right>
        <top/>
        <bottom/>
      </border>
    </dxf>
    <dxf>
      <font>
        <strike val="0"/>
        <outline val="0"/>
        <shadow val="0"/>
        <u val="none"/>
        <vertAlign val="baseline"/>
        <sz val="9"/>
        <color theme="1"/>
        <name val="Malgun Gothic"/>
        <family val="2"/>
        <scheme val="minor"/>
      </font>
      <numFmt numFmtId="176" formatCode="&quot;₩&quot;#,##0.00_);[Red]\(&quot;₩&quot;#,##0.00\)"/>
      <fill>
        <patternFill patternType="solid">
          <fgColor indexed="64"/>
          <bgColor theme="0"/>
        </patternFill>
      </fill>
      <border diagonalUp="0" diagonalDown="0">
        <left style="medium">
          <color theme="6" tint="0.39994506668294322"/>
        </left>
        <right style="medium">
          <color theme="6" tint="0.39994506668294322"/>
        </right>
        <top style="medium">
          <color theme="6" tint="0.39994506668294322"/>
        </top>
        <bottom style="medium">
          <color theme="6" tint="0.39994506668294322"/>
        </bottom>
      </border>
    </dxf>
    <dxf>
      <font>
        <strike val="0"/>
        <outline val="0"/>
        <shadow val="0"/>
        <u val="none"/>
        <vertAlign val="baseline"/>
        <sz val="9"/>
        <color theme="1"/>
        <name val="Malgun Gothic"/>
        <family val="2"/>
        <scheme val="minor"/>
      </font>
      <fill>
        <patternFill patternType="solid">
          <fgColor indexed="64"/>
          <bgColor theme="6" tint="0.79998168889431442"/>
        </patternFill>
      </fill>
      <border diagonalUp="0" diagonalDown="0">
        <left style="medium">
          <color theme="6" tint="0.39994506668294322"/>
        </left>
        <right style="medium">
          <color theme="6" tint="0.39994506668294322"/>
        </right>
        <top/>
        <bottom/>
      </border>
    </dxf>
    <dxf>
      <font>
        <strike val="0"/>
        <outline val="0"/>
        <shadow val="0"/>
        <u val="none"/>
        <vertAlign val="baseline"/>
        <sz val="9"/>
        <color theme="1"/>
        <name val="Malgun Gothic"/>
        <family val="2"/>
        <scheme val="minor"/>
      </font>
      <numFmt numFmtId="176" formatCode="&quot;₩&quot;#,##0.00_);[Red]\(&quot;₩&quot;#,##0.00\)"/>
      <fill>
        <patternFill patternType="solid">
          <fgColor indexed="64"/>
          <bgColor theme="0"/>
        </patternFill>
      </fill>
      <border diagonalUp="0" diagonalDown="0">
        <left style="medium">
          <color theme="6" tint="0.39994506668294322"/>
        </left>
        <right style="medium">
          <color theme="6" tint="0.39994506668294322"/>
        </right>
        <top style="medium">
          <color theme="6" tint="0.39994506668294322"/>
        </top>
        <bottom style="medium">
          <color theme="6" tint="0.39994506668294322"/>
        </bottom>
      </border>
    </dxf>
    <dxf>
      <font>
        <strike val="0"/>
        <outline val="0"/>
        <shadow val="0"/>
        <u val="none"/>
        <vertAlign val="baseline"/>
        <sz val="9"/>
        <color theme="1"/>
        <name val="Malgun Gothic"/>
        <family val="2"/>
        <scheme val="minor"/>
      </font>
      <fill>
        <patternFill patternType="solid">
          <fgColor indexed="64"/>
          <bgColor theme="6" tint="0.79998168889431442"/>
        </patternFill>
      </fill>
      <border diagonalUp="0" diagonalDown="0">
        <left style="medium">
          <color theme="6" tint="0.39994506668294322"/>
        </left>
        <right style="medium">
          <color theme="6" tint="0.39994506668294322"/>
        </right>
        <top/>
        <bottom/>
      </border>
    </dxf>
    <dxf>
      <font>
        <strike val="0"/>
        <outline val="0"/>
        <shadow val="0"/>
        <u val="none"/>
        <vertAlign val="baseline"/>
        <sz val="9"/>
        <color theme="1"/>
        <name val="Malgun Gothic"/>
        <family val="2"/>
        <scheme val="minor"/>
      </font>
      <numFmt numFmtId="176" formatCode="&quot;₩&quot;#,##0.00_);[Red]\(&quot;₩&quot;#,##0.00\)"/>
      <fill>
        <patternFill patternType="solid">
          <fgColor indexed="64"/>
          <bgColor theme="0"/>
        </patternFill>
      </fill>
      <border diagonalUp="0" diagonalDown="0">
        <left style="medium">
          <color theme="6" tint="0.39994506668294322"/>
        </left>
        <right style="medium">
          <color theme="6" tint="0.39994506668294322"/>
        </right>
        <top style="medium">
          <color theme="6" tint="0.39994506668294322"/>
        </top>
        <bottom style="medium">
          <color theme="6" tint="0.39994506668294322"/>
        </bottom>
      </border>
    </dxf>
    <dxf>
      <font>
        <strike val="0"/>
        <outline val="0"/>
        <shadow val="0"/>
        <u val="none"/>
        <vertAlign val="baseline"/>
        <sz val="9"/>
        <color theme="1"/>
        <name val="Malgun Gothic"/>
        <family val="2"/>
        <scheme val="minor"/>
      </font>
      <fill>
        <patternFill patternType="solid">
          <fgColor indexed="64"/>
          <bgColor theme="6" tint="0.79998168889431442"/>
        </patternFill>
      </fill>
      <border diagonalUp="0" diagonalDown="0">
        <left style="medium">
          <color theme="6" tint="0.39994506668294322"/>
        </left>
        <right style="medium">
          <color theme="6" tint="0.39994506668294322"/>
        </right>
        <top/>
        <bottom/>
      </border>
    </dxf>
    <dxf>
      <font>
        <strike val="0"/>
        <outline val="0"/>
        <shadow val="0"/>
        <u val="none"/>
        <vertAlign val="baseline"/>
        <sz val="9"/>
        <color theme="1"/>
        <name val="Malgun Gothic"/>
        <family val="2"/>
        <scheme val="minor"/>
      </font>
      <numFmt numFmtId="176" formatCode="&quot;₩&quot;#,##0.00_);[Red]\(&quot;₩&quot;#,##0.00\)"/>
      <fill>
        <patternFill patternType="solid">
          <fgColor indexed="64"/>
          <bgColor theme="0"/>
        </patternFill>
      </fill>
      <border diagonalUp="0" diagonalDown="0">
        <left style="medium">
          <color theme="6" tint="0.39994506668294322"/>
        </left>
        <right style="medium">
          <color theme="6" tint="0.39994506668294322"/>
        </right>
        <top style="medium">
          <color theme="6" tint="0.39994506668294322"/>
        </top>
        <bottom style="medium">
          <color theme="6" tint="0.39994506668294322"/>
        </bottom>
      </border>
    </dxf>
    <dxf>
      <font>
        <strike val="0"/>
        <outline val="0"/>
        <shadow val="0"/>
        <u val="none"/>
        <vertAlign val="baseline"/>
        <sz val="9"/>
        <color theme="1"/>
        <name val="Malgun Gothic"/>
        <family val="2"/>
        <scheme val="minor"/>
      </font>
      <fill>
        <patternFill patternType="solid">
          <fgColor indexed="64"/>
          <bgColor theme="6" tint="0.79998168889431442"/>
        </patternFill>
      </fill>
      <border diagonalUp="0" diagonalDown="0">
        <left style="medium">
          <color theme="6" tint="0.39994506668294322"/>
        </left>
        <right style="medium">
          <color theme="6" tint="0.39994506668294322"/>
        </right>
        <top/>
        <bottom/>
      </border>
    </dxf>
    <dxf>
      <font>
        <strike val="0"/>
        <outline val="0"/>
        <shadow val="0"/>
        <u val="none"/>
        <vertAlign val="baseline"/>
        <sz val="9"/>
        <color theme="1"/>
        <name val="Malgun Gothic"/>
        <family val="2"/>
        <scheme val="minor"/>
      </font>
      <numFmt numFmtId="176" formatCode="&quot;₩&quot;#,##0.00_);[Red]\(&quot;₩&quot;#,##0.00\)"/>
      <fill>
        <patternFill patternType="solid">
          <fgColor indexed="64"/>
          <bgColor theme="0"/>
        </patternFill>
      </fill>
      <border diagonalUp="0" diagonalDown="0">
        <left style="medium">
          <color theme="6" tint="0.39994506668294322"/>
        </left>
        <right style="medium">
          <color theme="6" tint="0.39994506668294322"/>
        </right>
        <top style="medium">
          <color theme="6" tint="0.39994506668294322"/>
        </top>
        <bottom style="medium">
          <color theme="6" tint="0.39994506668294322"/>
        </bottom>
      </border>
    </dxf>
    <dxf>
      <font>
        <strike val="0"/>
        <outline val="0"/>
        <shadow val="0"/>
        <u val="none"/>
        <vertAlign val="baseline"/>
        <sz val="9"/>
        <color theme="1"/>
        <name val="Malgun Gothic"/>
        <family val="2"/>
        <scheme val="minor"/>
      </font>
      <fill>
        <patternFill patternType="solid">
          <fgColor indexed="64"/>
          <bgColor theme="6" tint="0.79998168889431442"/>
        </patternFill>
      </fill>
      <border diagonalUp="0" diagonalDown="0">
        <left style="medium">
          <color theme="6" tint="0.39994506668294322"/>
        </left>
        <right style="medium">
          <color theme="6" tint="0.39994506668294322"/>
        </right>
        <top/>
        <bottom/>
      </border>
    </dxf>
    <dxf>
      <font>
        <strike val="0"/>
        <outline val="0"/>
        <shadow val="0"/>
        <u val="none"/>
        <vertAlign val="baseline"/>
        <sz val="9"/>
        <color theme="1"/>
        <name val="Malgun Gothic"/>
        <family val="2"/>
        <scheme val="minor"/>
      </font>
      <numFmt numFmtId="176" formatCode="&quot;₩&quot;#,##0.00_);[Red]\(&quot;₩&quot;#,##0.00\)"/>
      <fill>
        <patternFill patternType="solid">
          <fgColor indexed="64"/>
          <bgColor theme="0"/>
        </patternFill>
      </fill>
      <border diagonalUp="0" diagonalDown="0">
        <left style="medium">
          <color theme="6" tint="0.39994506668294322"/>
        </left>
        <right style="medium">
          <color theme="6" tint="0.39994506668294322"/>
        </right>
        <top style="medium">
          <color theme="6" tint="0.39994506668294322"/>
        </top>
        <bottom style="medium">
          <color theme="6" tint="0.39994506668294322"/>
        </bottom>
      </border>
    </dxf>
    <dxf>
      <font>
        <strike val="0"/>
        <outline val="0"/>
        <shadow val="0"/>
        <u val="none"/>
        <vertAlign val="baseline"/>
        <sz val="9"/>
        <color theme="1"/>
        <name val="Malgun Gothic"/>
        <family val="2"/>
        <scheme val="minor"/>
      </font>
      <fill>
        <patternFill patternType="solid">
          <fgColor indexed="64"/>
          <bgColor theme="6" tint="0.79998168889431442"/>
        </patternFill>
      </fill>
      <border diagonalUp="0" diagonalDown="0">
        <left style="medium">
          <color theme="6" tint="0.39994506668294322"/>
        </left>
        <right style="medium">
          <color theme="6" tint="0.39994506668294322"/>
        </right>
        <top/>
        <bottom/>
      </border>
    </dxf>
    <dxf>
      <font>
        <strike val="0"/>
        <outline val="0"/>
        <shadow val="0"/>
        <u val="none"/>
        <vertAlign val="baseline"/>
        <sz val="9"/>
        <color theme="1"/>
        <name val="Malgun Gothic"/>
        <family val="2"/>
        <scheme val="minor"/>
      </font>
      <numFmt numFmtId="176" formatCode="&quot;₩&quot;#,##0.00_);[Red]\(&quot;₩&quot;#,##0.00\)"/>
      <fill>
        <patternFill patternType="solid">
          <fgColor indexed="64"/>
          <bgColor theme="0"/>
        </patternFill>
      </fill>
      <border diagonalUp="0" diagonalDown="0">
        <left style="medium">
          <color theme="6" tint="0.39994506668294322"/>
        </left>
        <right style="medium">
          <color theme="6" tint="0.39994506668294322"/>
        </right>
        <top style="medium">
          <color theme="6" tint="0.39994506668294322"/>
        </top>
        <bottom style="medium">
          <color theme="6" tint="0.39994506668294322"/>
        </bottom>
      </border>
    </dxf>
    <dxf>
      <font>
        <strike val="0"/>
        <outline val="0"/>
        <shadow val="0"/>
        <u val="none"/>
        <vertAlign val="baseline"/>
        <sz val="9"/>
        <color theme="1"/>
        <name val="Malgun Gothic"/>
        <family val="2"/>
        <scheme val="minor"/>
      </font>
      <fill>
        <patternFill patternType="solid">
          <fgColor indexed="64"/>
          <bgColor theme="6" tint="0.79998168889431442"/>
        </patternFill>
      </fill>
      <border diagonalUp="0" diagonalDown="0">
        <left style="medium">
          <color theme="6" tint="0.39994506668294322"/>
        </left>
        <right style="medium">
          <color theme="6" tint="0.39994506668294322"/>
        </right>
        <top/>
        <bottom/>
      </border>
    </dxf>
    <dxf>
      <font>
        <strike val="0"/>
        <outline val="0"/>
        <shadow val="0"/>
        <u val="none"/>
        <vertAlign val="baseline"/>
        <sz val="9"/>
        <color theme="1"/>
        <name val="Malgun Gothic"/>
        <family val="2"/>
        <scheme val="minor"/>
      </font>
      <numFmt numFmtId="176" formatCode="&quot;₩&quot;#,##0.00_);[Red]\(&quot;₩&quot;#,##0.00\)"/>
      <fill>
        <patternFill patternType="solid">
          <fgColor indexed="64"/>
          <bgColor theme="0"/>
        </patternFill>
      </fill>
      <border diagonalUp="0" diagonalDown="0">
        <left style="medium">
          <color theme="6" tint="0.39994506668294322"/>
        </left>
        <right style="medium">
          <color theme="6" tint="0.39994506668294322"/>
        </right>
        <top style="medium">
          <color theme="6" tint="0.39994506668294322"/>
        </top>
        <bottom style="medium">
          <color theme="6" tint="0.39994506668294322"/>
        </bottom>
      </border>
    </dxf>
    <dxf>
      <font>
        <strike val="0"/>
        <outline val="0"/>
        <shadow val="0"/>
        <u val="none"/>
        <vertAlign val="baseline"/>
        <sz val="9"/>
        <color theme="1"/>
        <name val="Malgun Gothic"/>
        <family val="2"/>
        <scheme val="minor"/>
      </font>
      <fill>
        <patternFill patternType="solid">
          <fgColor indexed="64"/>
          <bgColor theme="6" tint="0.79998168889431442"/>
        </patternFill>
      </fill>
      <border diagonalUp="0" diagonalDown="0">
        <left style="medium">
          <color theme="6" tint="0.39994506668294322"/>
        </left>
        <right style="medium">
          <color theme="6" tint="0.39994506668294322"/>
        </right>
        <top/>
        <bottom/>
      </border>
    </dxf>
    <dxf>
      <font>
        <strike val="0"/>
        <outline val="0"/>
        <shadow val="0"/>
        <u val="none"/>
        <vertAlign val="baseline"/>
        <sz val="9"/>
        <color theme="1"/>
        <name val="Malgun Gothic"/>
        <family val="2"/>
        <scheme val="minor"/>
      </font>
      <numFmt numFmtId="176" formatCode="&quot;₩&quot;#,##0.00_);[Red]\(&quot;₩&quot;#,##0.00\)"/>
      <fill>
        <patternFill patternType="solid">
          <fgColor indexed="64"/>
          <bgColor theme="0"/>
        </patternFill>
      </fill>
      <border diagonalUp="0" diagonalDown="0">
        <left style="medium">
          <color theme="6" tint="0.39994506668294322"/>
        </left>
        <right style="medium">
          <color theme="6" tint="0.39994506668294322"/>
        </right>
        <top style="medium">
          <color theme="6" tint="0.39994506668294322"/>
        </top>
        <bottom style="medium">
          <color theme="6" tint="0.39994506668294322"/>
        </bottom>
      </border>
    </dxf>
    <dxf>
      <font>
        <strike val="0"/>
        <outline val="0"/>
        <shadow val="0"/>
        <u val="none"/>
        <vertAlign val="baseline"/>
        <sz val="9"/>
        <color theme="1"/>
        <name val="Malgun Gothic"/>
        <family val="2"/>
        <scheme val="minor"/>
      </font>
      <fill>
        <patternFill patternType="solid">
          <fgColor indexed="64"/>
          <bgColor theme="6" tint="0.79998168889431442"/>
        </patternFill>
      </fill>
      <border diagonalUp="0" diagonalDown="0">
        <left style="medium">
          <color theme="6" tint="0.39994506668294322"/>
        </left>
        <right style="medium">
          <color theme="6" tint="0.39994506668294322"/>
        </right>
        <top/>
        <bottom/>
      </border>
    </dxf>
    <dxf>
      <font>
        <strike val="0"/>
        <outline val="0"/>
        <shadow val="0"/>
        <u val="none"/>
        <vertAlign val="baseline"/>
        <sz val="9"/>
        <color theme="1"/>
        <name val="Malgun Gothic"/>
        <family val="2"/>
        <scheme val="minor"/>
      </font>
      <numFmt numFmtId="176" formatCode="&quot;₩&quot;#,##0.00_);[Red]\(&quot;₩&quot;#,##0.00\)"/>
      <fill>
        <patternFill patternType="solid">
          <fgColor indexed="64"/>
          <bgColor theme="0"/>
        </patternFill>
      </fill>
      <border diagonalUp="0" diagonalDown="0">
        <left style="medium">
          <color theme="6" tint="0.39994506668294322"/>
        </left>
        <right style="medium">
          <color theme="6" tint="0.39994506668294322"/>
        </right>
        <top style="medium">
          <color theme="6" tint="0.39994506668294322"/>
        </top>
        <bottom style="medium">
          <color theme="6" tint="0.39994506668294322"/>
        </bottom>
      </border>
    </dxf>
    <dxf>
      <font>
        <strike val="0"/>
        <outline val="0"/>
        <shadow val="0"/>
        <u val="none"/>
        <vertAlign val="baseline"/>
        <sz val="9"/>
        <color theme="1"/>
        <name val="Malgun Gothic"/>
        <family val="2"/>
        <scheme val="minor"/>
      </font>
      <fill>
        <patternFill patternType="solid">
          <fgColor indexed="64"/>
          <bgColor theme="6" tint="0.79998168889431442"/>
        </patternFill>
      </fill>
      <border diagonalUp="0" diagonalDown="0">
        <left style="medium">
          <color theme="6" tint="0.39994506668294322"/>
        </left>
        <right style="medium">
          <color theme="6" tint="0.39994506668294322"/>
        </right>
        <top/>
        <bottom/>
      </border>
    </dxf>
    <dxf>
      <font>
        <strike val="0"/>
        <outline val="0"/>
        <shadow val="0"/>
        <u val="none"/>
        <vertAlign val="baseline"/>
        <sz val="9"/>
        <color theme="1"/>
        <name val="Malgun Gothic"/>
        <family val="2"/>
        <scheme val="minor"/>
      </font>
      <numFmt numFmtId="176" formatCode="&quot;₩&quot;#,##0.00_);[Red]\(&quot;₩&quot;#,##0.00\)"/>
      <fill>
        <patternFill patternType="solid">
          <fgColor indexed="64"/>
          <bgColor theme="0"/>
        </patternFill>
      </fill>
      <border diagonalUp="0" diagonalDown="0">
        <left/>
        <right style="medium">
          <color theme="6" tint="0.39994506668294322"/>
        </right>
        <top style="medium">
          <color theme="6" tint="0.39994506668294322"/>
        </top>
        <bottom style="medium">
          <color theme="6" tint="0.39994506668294322"/>
        </bottom>
      </border>
    </dxf>
    <dxf>
      <font>
        <b/>
        <strike val="0"/>
        <outline val="0"/>
        <shadow val="0"/>
        <u val="none"/>
        <vertAlign val="baseline"/>
        <sz val="10"/>
        <color theme="1"/>
        <name val="Malgun Gothic"/>
        <family val="2"/>
        <scheme val="minor"/>
      </font>
      <fill>
        <patternFill patternType="solid">
          <fgColor indexed="64"/>
          <bgColor theme="6" tint="0.79998168889431442"/>
        </patternFill>
      </fill>
      <border diagonalUp="0" diagonalDown="0">
        <left/>
        <right style="medium">
          <color theme="6" tint="0.39991454817346722"/>
        </right>
        <top style="medium">
          <color theme="6" tint="0.39994506668294322"/>
        </top>
        <bottom/>
        <vertical/>
        <horizontal/>
      </border>
    </dxf>
    <dxf>
      <font>
        <b/>
        <strike val="0"/>
        <outline val="0"/>
        <shadow val="0"/>
        <u val="none"/>
        <vertAlign val="baseline"/>
        <sz val="10"/>
        <color theme="0"/>
        <name val="Malgun Gothic"/>
        <family val="2"/>
        <scheme val="minor"/>
      </font>
      <fill>
        <patternFill patternType="solid">
          <fgColor indexed="64"/>
          <bgColor theme="3"/>
        </patternFill>
      </fill>
      <alignment horizontal="left" vertical="center" textRotation="0" wrapText="0" relativeIndent="1" justifyLastLine="0" shrinkToFit="0" readingOrder="0"/>
      <border diagonalUp="0" diagonalDown="0">
        <left/>
        <right/>
        <top style="medium">
          <color theme="6" tint="0.39994506668294322"/>
        </top>
        <bottom style="medium">
          <color theme="6" tint="0.39994506668294322"/>
        </bottom>
      </border>
    </dxf>
    <dxf>
      <border>
        <top style="medium">
          <color theme="6" tint="0.39994506668294322"/>
        </top>
      </border>
    </dxf>
    <dxf>
      <font>
        <strike val="0"/>
        <outline val="0"/>
        <shadow val="0"/>
        <vertAlign val="baseline"/>
        <name val="Malgun Gothic"/>
        <family val="2"/>
      </font>
      <border diagonalUp="0" diagonalDown="0">
        <left style="medium">
          <color theme="6" tint="0.39994506668294322"/>
        </left>
        <right style="medium">
          <color theme="6" tint="0.39994506668294322"/>
        </right>
        <top/>
        <bottom/>
        <vertical style="medium">
          <color theme="6" tint="0.39994506668294322"/>
        </vertical>
        <horizontal style="medium">
          <color theme="6" tint="0.39994506668294322"/>
        </horizontal>
      </border>
    </dxf>
    <dxf>
      <border diagonalUp="0" diagonalDown="0">
        <left style="medium">
          <color theme="6" tint="0.39994506668294322"/>
        </left>
        <right style="medium">
          <color theme="6" tint="0.39994506668294322"/>
        </right>
        <top style="medium">
          <color theme="6" tint="0.39994506668294322"/>
        </top>
        <bottom style="medium">
          <color theme="6" tint="0.39994506668294322"/>
        </bottom>
      </border>
    </dxf>
    <dxf>
      <font>
        <strike val="0"/>
        <outline val="0"/>
        <shadow val="0"/>
        <vertAlign val="baseline"/>
        <name val="Malgun Gothic"/>
        <family val="2"/>
      </font>
    </dxf>
    <dxf>
      <border>
        <bottom style="medium">
          <color theme="6" tint="0.39994506668294322"/>
        </bottom>
      </border>
    </dxf>
    <dxf>
      <font>
        <strike val="0"/>
        <outline val="0"/>
        <shadow val="0"/>
        <vertAlign val="baseline"/>
        <name val="Malgun Gothic"/>
        <family val="2"/>
      </font>
      <border diagonalUp="0" diagonalDown="0">
        <left style="medium">
          <color theme="6" tint="0.39994506668294322"/>
        </left>
        <right style="medium">
          <color theme="6" tint="0.39994506668294322"/>
        </right>
        <top/>
        <bottom/>
        <vertical style="medium">
          <color theme="6" tint="0.39994506668294322"/>
        </vertical>
        <horizontal style="medium">
          <color theme="6" tint="0.39994506668294322"/>
        </horizontal>
      </border>
    </dxf>
    <dxf>
      <font>
        <strike val="0"/>
        <outline val="0"/>
        <shadow val="0"/>
        <vertAlign val="baseline"/>
        <name val="Malgun Gothic"/>
        <family val="2"/>
      </font>
      <fill>
        <patternFill patternType="solid">
          <fgColor indexed="64"/>
          <bgColor theme="6" tint="0.79998168889431442"/>
        </patternFill>
      </fill>
      <border diagonalUp="0" diagonalDown="0">
        <left style="medium">
          <color theme="6" tint="0.39994506668294322"/>
        </left>
        <right/>
        <top/>
        <bottom/>
      </border>
    </dxf>
    <dxf>
      <font>
        <strike val="0"/>
        <outline val="0"/>
        <shadow val="0"/>
        <vertAlign val="baseline"/>
        <name val="Malgun Gothic"/>
        <family val="2"/>
      </font>
      <numFmt numFmtId="176" formatCode="&quot;₩&quot;#,##0.00_);[Red]\(&quot;₩&quot;#,##0.00\)"/>
      <alignment horizontal="right" vertical="center" textRotation="0" wrapText="0" indent="0" justifyLastLine="0" shrinkToFit="0" readingOrder="0"/>
      <border diagonalUp="0" diagonalDown="0">
        <left style="medium">
          <color theme="6" tint="0.39994506668294322"/>
        </left>
        <right/>
        <top style="medium">
          <color theme="6" tint="0.39994506668294322"/>
        </top>
        <bottom style="medium">
          <color theme="6" tint="0.39994506668294322"/>
        </bottom>
      </border>
    </dxf>
    <dxf>
      <font>
        <strike val="0"/>
        <outline val="0"/>
        <shadow val="0"/>
        <vertAlign val="baseline"/>
        <name val="Malgun Gothic"/>
        <family val="2"/>
      </font>
      <fill>
        <patternFill patternType="solid">
          <fgColor indexed="64"/>
          <bgColor theme="6" tint="0.79998168889431442"/>
        </patternFill>
      </fill>
      <border diagonalUp="0" diagonalDown="0">
        <left style="medium">
          <color theme="6" tint="0.39994506668294322"/>
        </left>
        <right style="medium">
          <color theme="6" tint="0.39994506668294322"/>
        </right>
        <top/>
        <bottom/>
      </border>
    </dxf>
    <dxf>
      <font>
        <strike val="0"/>
        <outline val="0"/>
        <shadow val="0"/>
        <vertAlign val="baseline"/>
        <name val="Malgun Gothic"/>
        <family val="2"/>
      </font>
      <numFmt numFmtId="176" formatCode="&quot;₩&quot;#,##0.00_);[Red]\(&quot;₩&quot;#,##0.00\)"/>
      <fill>
        <patternFill patternType="solid">
          <fgColor indexed="64"/>
          <bgColor theme="0"/>
        </patternFill>
      </fill>
      <alignment horizontal="right" vertical="center" textRotation="0" wrapText="0" indent="0" justifyLastLine="0" shrinkToFit="0" readingOrder="0"/>
      <border diagonalUp="0" diagonalDown="0">
        <left style="medium">
          <color theme="6" tint="0.39994506668294322"/>
        </left>
        <right style="medium">
          <color theme="6" tint="0.39994506668294322"/>
        </right>
        <top style="medium">
          <color theme="6" tint="0.39994506668294322"/>
        </top>
        <bottom style="medium">
          <color theme="6" tint="0.39994506668294322"/>
        </bottom>
      </border>
    </dxf>
    <dxf>
      <font>
        <strike val="0"/>
        <outline val="0"/>
        <shadow val="0"/>
        <vertAlign val="baseline"/>
        <name val="Malgun Gothic"/>
        <family val="2"/>
      </font>
      <fill>
        <patternFill patternType="solid">
          <fgColor indexed="64"/>
          <bgColor theme="6" tint="0.79998168889431442"/>
        </patternFill>
      </fill>
      <border diagonalUp="0" diagonalDown="0">
        <left style="medium">
          <color theme="6" tint="0.39994506668294322"/>
        </left>
        <right style="medium">
          <color theme="6" tint="0.39994506668294322"/>
        </right>
        <top/>
        <bottom/>
      </border>
    </dxf>
    <dxf>
      <font>
        <strike val="0"/>
        <outline val="0"/>
        <shadow val="0"/>
        <vertAlign val="baseline"/>
        <name val="Malgun Gothic"/>
        <family val="2"/>
      </font>
      <numFmt numFmtId="176" formatCode="&quot;₩&quot;#,##0.00_);[Red]\(&quot;₩&quot;#,##0.00\)"/>
      <fill>
        <patternFill patternType="solid">
          <fgColor indexed="64"/>
          <bgColor theme="0"/>
        </patternFill>
      </fill>
      <alignment horizontal="right" vertical="center" textRotation="0" wrapText="0" indent="0" justifyLastLine="0" shrinkToFit="0" readingOrder="0"/>
      <border diagonalUp="0" diagonalDown="0">
        <left style="medium">
          <color theme="6" tint="0.39994506668294322"/>
        </left>
        <right style="medium">
          <color theme="6" tint="0.39994506668294322"/>
        </right>
        <top style="medium">
          <color theme="6" tint="0.39994506668294322"/>
        </top>
        <bottom style="medium">
          <color theme="6" tint="0.39994506668294322"/>
        </bottom>
      </border>
    </dxf>
    <dxf>
      <font>
        <strike val="0"/>
        <outline val="0"/>
        <shadow val="0"/>
        <vertAlign val="baseline"/>
        <name val="Malgun Gothic"/>
        <family val="2"/>
      </font>
      <fill>
        <patternFill patternType="solid">
          <fgColor indexed="64"/>
          <bgColor theme="6" tint="0.79998168889431442"/>
        </patternFill>
      </fill>
      <border diagonalUp="0" diagonalDown="0">
        <left style="medium">
          <color theme="6" tint="0.39994506668294322"/>
        </left>
        <right style="medium">
          <color theme="6" tint="0.39994506668294322"/>
        </right>
        <top/>
        <bottom/>
      </border>
    </dxf>
    <dxf>
      <font>
        <strike val="0"/>
        <outline val="0"/>
        <shadow val="0"/>
        <vertAlign val="baseline"/>
        <name val="Malgun Gothic"/>
        <family val="2"/>
      </font>
      <numFmt numFmtId="176" formatCode="&quot;₩&quot;#,##0.00_);[Red]\(&quot;₩&quot;#,##0.00\)"/>
      <fill>
        <patternFill patternType="solid">
          <fgColor indexed="64"/>
          <bgColor theme="0"/>
        </patternFill>
      </fill>
      <alignment horizontal="right" vertical="center" textRotation="0" wrapText="0" indent="0" justifyLastLine="0" shrinkToFit="0" readingOrder="0"/>
      <border diagonalUp="0" diagonalDown="0">
        <left style="medium">
          <color theme="6" tint="0.39994506668294322"/>
        </left>
        <right style="medium">
          <color theme="6" tint="0.39994506668294322"/>
        </right>
        <top style="medium">
          <color theme="6" tint="0.39994506668294322"/>
        </top>
        <bottom style="medium">
          <color theme="6" tint="0.39994506668294322"/>
        </bottom>
      </border>
    </dxf>
    <dxf>
      <font>
        <strike val="0"/>
        <outline val="0"/>
        <shadow val="0"/>
        <vertAlign val="baseline"/>
        <name val="Malgun Gothic"/>
        <family val="2"/>
      </font>
      <fill>
        <patternFill patternType="solid">
          <fgColor indexed="64"/>
          <bgColor theme="6" tint="0.79998168889431442"/>
        </patternFill>
      </fill>
      <border diagonalUp="0" diagonalDown="0">
        <left style="medium">
          <color theme="6" tint="0.39994506668294322"/>
        </left>
        <right style="medium">
          <color theme="6" tint="0.39994506668294322"/>
        </right>
        <top/>
        <bottom/>
      </border>
    </dxf>
    <dxf>
      <font>
        <strike val="0"/>
        <outline val="0"/>
        <shadow val="0"/>
        <vertAlign val="baseline"/>
        <name val="Malgun Gothic"/>
        <family val="2"/>
      </font>
      <numFmt numFmtId="176" formatCode="&quot;₩&quot;#,##0.00_);[Red]\(&quot;₩&quot;#,##0.00\)"/>
      <fill>
        <patternFill patternType="solid">
          <fgColor indexed="64"/>
          <bgColor theme="0"/>
        </patternFill>
      </fill>
      <alignment horizontal="right" vertical="center" textRotation="0" wrapText="0" indent="0" justifyLastLine="0" shrinkToFit="0" readingOrder="0"/>
      <border diagonalUp="0" diagonalDown="0">
        <left style="medium">
          <color theme="6" tint="0.39994506668294322"/>
        </left>
        <right style="medium">
          <color theme="6" tint="0.39994506668294322"/>
        </right>
        <top style="medium">
          <color theme="6" tint="0.39994506668294322"/>
        </top>
        <bottom style="medium">
          <color theme="6" tint="0.39994506668294322"/>
        </bottom>
      </border>
    </dxf>
    <dxf>
      <font>
        <strike val="0"/>
        <outline val="0"/>
        <shadow val="0"/>
        <vertAlign val="baseline"/>
        <name val="Malgun Gothic"/>
        <family val="2"/>
      </font>
      <fill>
        <patternFill patternType="solid">
          <fgColor indexed="64"/>
          <bgColor theme="6" tint="0.79998168889431442"/>
        </patternFill>
      </fill>
      <border diagonalUp="0" diagonalDown="0">
        <left style="medium">
          <color theme="6" tint="0.39994506668294322"/>
        </left>
        <right style="medium">
          <color theme="6" tint="0.39994506668294322"/>
        </right>
        <top/>
        <bottom/>
      </border>
    </dxf>
    <dxf>
      <font>
        <strike val="0"/>
        <outline val="0"/>
        <shadow val="0"/>
        <vertAlign val="baseline"/>
        <name val="Malgun Gothic"/>
        <family val="2"/>
      </font>
      <numFmt numFmtId="176" formatCode="&quot;₩&quot;#,##0.00_);[Red]\(&quot;₩&quot;#,##0.00\)"/>
      <fill>
        <patternFill patternType="solid">
          <fgColor indexed="64"/>
          <bgColor theme="0"/>
        </patternFill>
      </fill>
      <alignment horizontal="right" vertical="center" textRotation="0" wrapText="0" indent="0" justifyLastLine="0" shrinkToFit="0" readingOrder="0"/>
      <border diagonalUp="0" diagonalDown="0">
        <left style="medium">
          <color theme="6" tint="0.39994506668294322"/>
        </left>
        <right style="medium">
          <color theme="6" tint="0.39994506668294322"/>
        </right>
        <top style="medium">
          <color theme="6" tint="0.39994506668294322"/>
        </top>
        <bottom style="medium">
          <color theme="6" tint="0.39994506668294322"/>
        </bottom>
      </border>
    </dxf>
    <dxf>
      <font>
        <strike val="0"/>
        <outline val="0"/>
        <shadow val="0"/>
        <vertAlign val="baseline"/>
        <name val="Malgun Gothic"/>
        <family val="2"/>
      </font>
      <fill>
        <patternFill patternType="solid">
          <fgColor indexed="64"/>
          <bgColor theme="6" tint="0.79998168889431442"/>
        </patternFill>
      </fill>
      <border diagonalUp="0" diagonalDown="0">
        <left style="medium">
          <color theme="6" tint="0.39994506668294322"/>
        </left>
        <right style="medium">
          <color theme="6" tint="0.39994506668294322"/>
        </right>
        <top/>
        <bottom/>
      </border>
    </dxf>
    <dxf>
      <font>
        <strike val="0"/>
        <outline val="0"/>
        <shadow val="0"/>
        <vertAlign val="baseline"/>
        <name val="Malgun Gothic"/>
        <family val="2"/>
      </font>
      <numFmt numFmtId="176" formatCode="&quot;₩&quot;#,##0.00_);[Red]\(&quot;₩&quot;#,##0.00\)"/>
      <fill>
        <patternFill patternType="solid">
          <fgColor indexed="64"/>
          <bgColor theme="0"/>
        </patternFill>
      </fill>
      <alignment horizontal="right" vertical="center" textRotation="0" wrapText="0" indent="0" justifyLastLine="0" shrinkToFit="0" readingOrder="0"/>
      <border diagonalUp="0" diagonalDown="0">
        <left style="medium">
          <color theme="6" tint="0.39994506668294322"/>
        </left>
        <right style="medium">
          <color theme="6" tint="0.39994506668294322"/>
        </right>
        <top style="medium">
          <color theme="6" tint="0.39994506668294322"/>
        </top>
        <bottom style="medium">
          <color theme="6" tint="0.39994506668294322"/>
        </bottom>
      </border>
    </dxf>
    <dxf>
      <font>
        <strike val="0"/>
        <outline val="0"/>
        <shadow val="0"/>
        <vertAlign val="baseline"/>
        <name val="Malgun Gothic"/>
        <family val="2"/>
      </font>
      <fill>
        <patternFill patternType="solid">
          <fgColor indexed="64"/>
          <bgColor theme="6" tint="0.79998168889431442"/>
        </patternFill>
      </fill>
      <border diagonalUp="0" diagonalDown="0">
        <left style="medium">
          <color theme="6" tint="0.39994506668294322"/>
        </left>
        <right style="medium">
          <color theme="6" tint="0.39994506668294322"/>
        </right>
        <top/>
        <bottom/>
      </border>
    </dxf>
    <dxf>
      <font>
        <strike val="0"/>
        <outline val="0"/>
        <shadow val="0"/>
        <vertAlign val="baseline"/>
        <name val="Malgun Gothic"/>
        <family val="2"/>
      </font>
      <numFmt numFmtId="176" formatCode="&quot;₩&quot;#,##0.00_);[Red]\(&quot;₩&quot;#,##0.00\)"/>
      <fill>
        <patternFill patternType="solid">
          <fgColor indexed="64"/>
          <bgColor theme="0"/>
        </patternFill>
      </fill>
      <alignment horizontal="right" vertical="center" textRotation="0" wrapText="0" indent="0" justifyLastLine="0" shrinkToFit="0" readingOrder="0"/>
      <border diagonalUp="0" diagonalDown="0">
        <left style="medium">
          <color theme="6" tint="0.39994506668294322"/>
        </left>
        <right style="medium">
          <color theme="6" tint="0.39994506668294322"/>
        </right>
        <top style="medium">
          <color theme="6" tint="0.39994506668294322"/>
        </top>
        <bottom style="medium">
          <color theme="6" tint="0.39994506668294322"/>
        </bottom>
      </border>
    </dxf>
    <dxf>
      <font>
        <strike val="0"/>
        <outline val="0"/>
        <shadow val="0"/>
        <vertAlign val="baseline"/>
        <name val="Malgun Gothic"/>
        <family val="2"/>
      </font>
      <fill>
        <patternFill patternType="solid">
          <fgColor indexed="64"/>
          <bgColor theme="6" tint="0.79998168889431442"/>
        </patternFill>
      </fill>
      <border diagonalUp="0" diagonalDown="0">
        <left style="medium">
          <color theme="6" tint="0.39994506668294322"/>
        </left>
        <right style="medium">
          <color theme="6" tint="0.39994506668294322"/>
        </right>
        <top/>
        <bottom/>
      </border>
    </dxf>
    <dxf>
      <font>
        <strike val="0"/>
        <outline val="0"/>
        <shadow val="0"/>
        <vertAlign val="baseline"/>
        <name val="Malgun Gothic"/>
        <family val="2"/>
      </font>
      <numFmt numFmtId="176" formatCode="&quot;₩&quot;#,##0.00_);[Red]\(&quot;₩&quot;#,##0.00\)"/>
      <fill>
        <patternFill patternType="solid">
          <fgColor indexed="64"/>
          <bgColor theme="0"/>
        </patternFill>
      </fill>
      <alignment horizontal="right" vertical="center" textRotation="0" wrapText="0" indent="0" justifyLastLine="0" shrinkToFit="0" readingOrder="0"/>
      <border diagonalUp="0" diagonalDown="0">
        <left style="medium">
          <color theme="6" tint="0.39994506668294322"/>
        </left>
        <right style="medium">
          <color theme="6" tint="0.39994506668294322"/>
        </right>
        <top style="medium">
          <color theme="6" tint="0.39994506668294322"/>
        </top>
        <bottom style="medium">
          <color theme="6" tint="0.39994506668294322"/>
        </bottom>
      </border>
    </dxf>
    <dxf>
      <font>
        <strike val="0"/>
        <outline val="0"/>
        <shadow val="0"/>
        <vertAlign val="baseline"/>
        <name val="Malgun Gothic"/>
        <family val="2"/>
      </font>
      <fill>
        <patternFill patternType="solid">
          <fgColor indexed="64"/>
          <bgColor theme="6" tint="0.79998168889431442"/>
        </patternFill>
      </fill>
      <border diagonalUp="0" diagonalDown="0">
        <left style="medium">
          <color theme="6" tint="0.39994506668294322"/>
        </left>
        <right style="medium">
          <color theme="6" tint="0.39994506668294322"/>
        </right>
        <top/>
        <bottom/>
      </border>
    </dxf>
    <dxf>
      <font>
        <strike val="0"/>
        <outline val="0"/>
        <shadow val="0"/>
        <vertAlign val="baseline"/>
        <name val="Malgun Gothic"/>
        <family val="2"/>
      </font>
      <numFmt numFmtId="176" formatCode="&quot;₩&quot;#,##0.00_);[Red]\(&quot;₩&quot;#,##0.00\)"/>
      <fill>
        <patternFill patternType="solid">
          <fgColor indexed="64"/>
          <bgColor theme="0"/>
        </patternFill>
      </fill>
      <alignment horizontal="right" vertical="center" textRotation="0" wrapText="0" indent="0" justifyLastLine="0" shrinkToFit="0" readingOrder="0"/>
      <border diagonalUp="0" diagonalDown="0">
        <left style="medium">
          <color theme="6" tint="0.39994506668294322"/>
        </left>
        <right style="medium">
          <color theme="6" tint="0.39994506668294322"/>
        </right>
        <top style="medium">
          <color theme="6" tint="0.39994506668294322"/>
        </top>
        <bottom style="medium">
          <color theme="6" tint="0.39994506668294322"/>
        </bottom>
      </border>
    </dxf>
    <dxf>
      <font>
        <strike val="0"/>
        <outline val="0"/>
        <shadow val="0"/>
        <vertAlign val="baseline"/>
        <name val="Malgun Gothic"/>
        <family val="2"/>
      </font>
      <fill>
        <patternFill patternType="solid">
          <fgColor indexed="64"/>
          <bgColor theme="6" tint="0.79998168889431442"/>
        </patternFill>
      </fill>
      <border diagonalUp="0" diagonalDown="0">
        <left style="medium">
          <color theme="6" tint="0.39994506668294322"/>
        </left>
        <right style="medium">
          <color theme="6" tint="0.39994506668294322"/>
        </right>
        <top/>
        <bottom/>
      </border>
    </dxf>
    <dxf>
      <font>
        <strike val="0"/>
        <outline val="0"/>
        <shadow val="0"/>
        <vertAlign val="baseline"/>
        <name val="Malgun Gothic"/>
        <family val="2"/>
      </font>
      <numFmt numFmtId="176" formatCode="&quot;₩&quot;#,##0.00_);[Red]\(&quot;₩&quot;#,##0.00\)"/>
      <fill>
        <patternFill patternType="solid">
          <fgColor indexed="64"/>
          <bgColor theme="0"/>
        </patternFill>
      </fill>
      <alignment horizontal="right" vertical="center" textRotation="0" wrapText="0" indent="0" justifyLastLine="0" shrinkToFit="0" readingOrder="0"/>
      <border diagonalUp="0" diagonalDown="0">
        <left style="medium">
          <color theme="6" tint="0.39994506668294322"/>
        </left>
        <right style="medium">
          <color theme="6" tint="0.39994506668294322"/>
        </right>
        <top style="medium">
          <color theme="6" tint="0.39994506668294322"/>
        </top>
        <bottom style="medium">
          <color theme="6" tint="0.39994506668294322"/>
        </bottom>
      </border>
    </dxf>
    <dxf>
      <font>
        <strike val="0"/>
        <outline val="0"/>
        <shadow val="0"/>
        <vertAlign val="baseline"/>
        <name val="Malgun Gothic"/>
        <family val="2"/>
      </font>
      <fill>
        <patternFill patternType="solid">
          <fgColor indexed="64"/>
          <bgColor theme="6" tint="0.79998168889431442"/>
        </patternFill>
      </fill>
      <border diagonalUp="0" diagonalDown="0">
        <left style="medium">
          <color theme="6" tint="0.39994506668294322"/>
        </left>
        <right style="medium">
          <color theme="6" tint="0.39994506668294322"/>
        </right>
        <top/>
        <bottom/>
      </border>
    </dxf>
    <dxf>
      <font>
        <strike val="0"/>
        <outline val="0"/>
        <shadow val="0"/>
        <vertAlign val="baseline"/>
        <name val="Malgun Gothic"/>
        <family val="2"/>
      </font>
      <numFmt numFmtId="176" formatCode="&quot;₩&quot;#,##0.00_);[Red]\(&quot;₩&quot;#,##0.00\)"/>
      <fill>
        <patternFill patternType="solid">
          <fgColor indexed="64"/>
          <bgColor theme="0"/>
        </patternFill>
      </fill>
      <alignment horizontal="right" vertical="center" textRotation="0" wrapText="0" indent="0" justifyLastLine="0" shrinkToFit="0" readingOrder="0"/>
      <border diagonalUp="0" diagonalDown="0">
        <left style="medium">
          <color theme="6" tint="0.39994506668294322"/>
        </left>
        <right style="medium">
          <color theme="6" tint="0.39994506668294322"/>
        </right>
        <top style="medium">
          <color theme="6" tint="0.39994506668294322"/>
        </top>
        <bottom style="medium">
          <color theme="6" tint="0.39994506668294322"/>
        </bottom>
      </border>
    </dxf>
    <dxf>
      <font>
        <strike val="0"/>
        <outline val="0"/>
        <shadow val="0"/>
        <vertAlign val="baseline"/>
        <name val="Malgun Gothic"/>
        <family val="2"/>
      </font>
      <fill>
        <patternFill patternType="solid">
          <fgColor indexed="64"/>
          <bgColor theme="6" tint="0.79998168889431442"/>
        </patternFill>
      </fill>
      <border diagonalUp="0" diagonalDown="0">
        <left style="medium">
          <color theme="6" tint="0.39994506668294322"/>
        </left>
        <right style="medium">
          <color theme="6" tint="0.39994506668294322"/>
        </right>
        <top/>
        <bottom/>
      </border>
    </dxf>
    <dxf>
      <font>
        <strike val="0"/>
        <outline val="0"/>
        <shadow val="0"/>
        <vertAlign val="baseline"/>
        <name val="Malgun Gothic"/>
        <family val="2"/>
      </font>
      <numFmt numFmtId="176" formatCode="&quot;₩&quot;#,##0.00_);[Red]\(&quot;₩&quot;#,##0.00\)"/>
      <fill>
        <patternFill patternType="solid">
          <fgColor indexed="64"/>
          <bgColor theme="0"/>
        </patternFill>
      </fill>
      <alignment horizontal="right" vertical="center" textRotation="0" wrapText="0" indent="0" justifyLastLine="0" shrinkToFit="0" readingOrder="0"/>
      <border diagonalUp="0" diagonalDown="0">
        <left/>
        <right style="medium">
          <color theme="6" tint="0.39994506668294322"/>
        </right>
        <top style="medium">
          <color theme="6" tint="0.39994506668294322"/>
        </top>
        <bottom style="medium">
          <color theme="6" tint="0.39994506668294322"/>
        </bottom>
      </border>
    </dxf>
    <dxf>
      <font>
        <strike val="0"/>
        <outline val="0"/>
        <shadow val="0"/>
        <u val="none"/>
        <vertAlign val="baseline"/>
        <sz val="10"/>
        <color theme="1"/>
        <name val="Malgun Gothic"/>
        <family val="2"/>
        <scheme val="minor"/>
      </font>
      <fill>
        <patternFill patternType="solid">
          <fgColor indexed="64"/>
          <bgColor theme="6" tint="0.79998168889431442"/>
        </patternFill>
      </fill>
      <border diagonalUp="0" diagonalDown="0">
        <left/>
        <right style="medium">
          <color theme="6" tint="0.39991454817346722"/>
        </right>
        <top style="medium">
          <color theme="6" tint="0.39994506668294322"/>
        </top>
        <bottom/>
        <vertical/>
        <horizontal/>
      </border>
    </dxf>
    <dxf>
      <font>
        <b/>
        <strike val="0"/>
        <outline val="0"/>
        <shadow val="0"/>
        <u val="none"/>
        <vertAlign val="baseline"/>
        <sz val="10"/>
        <color theme="0"/>
        <name val="Malgun Gothic"/>
        <family val="2"/>
        <scheme val="minor"/>
      </font>
      <fill>
        <patternFill patternType="solid">
          <fgColor indexed="64"/>
          <bgColor theme="3"/>
        </patternFill>
      </fill>
      <alignment horizontal="left" vertical="center" textRotation="0" wrapText="0" relativeIndent="-1" justifyLastLine="0" shrinkToFit="0" readingOrder="0"/>
      <border diagonalUp="0" diagonalDown="0">
        <left/>
        <right/>
        <top style="medium">
          <color theme="6" tint="0.39994506668294322"/>
        </top>
        <bottom style="medium">
          <color theme="6" tint="0.39994506668294322"/>
        </bottom>
      </border>
    </dxf>
    <dxf>
      <border>
        <top style="medium">
          <color theme="6" tint="0.39994506668294322"/>
        </top>
      </border>
    </dxf>
    <dxf>
      <font>
        <strike val="0"/>
        <outline val="0"/>
        <shadow val="0"/>
        <vertAlign val="baseline"/>
        <name val="Malgun Gothic"/>
        <family val="2"/>
      </font>
      <border diagonalUp="0" diagonalDown="0">
        <left style="medium">
          <color theme="6" tint="0.39994506668294322"/>
        </left>
        <right style="medium">
          <color theme="6" tint="0.39994506668294322"/>
        </right>
        <top/>
        <bottom/>
        <vertical style="medium">
          <color theme="6" tint="0.39994506668294322"/>
        </vertical>
        <horizontal style="medium">
          <color theme="6" tint="0.39994506668294322"/>
        </horizontal>
      </border>
    </dxf>
    <dxf>
      <border diagonalUp="0" diagonalDown="0">
        <left style="medium">
          <color theme="6" tint="0.39994506668294322"/>
        </left>
        <right style="medium">
          <color theme="6" tint="0.39994506668294322"/>
        </right>
        <top style="medium">
          <color theme="6" tint="0.39994506668294322"/>
        </top>
        <bottom style="medium">
          <color theme="6" tint="0.39994506668294322"/>
        </bottom>
      </border>
    </dxf>
    <dxf>
      <font>
        <strike val="0"/>
        <outline val="0"/>
        <shadow val="0"/>
        <vertAlign val="baseline"/>
        <name val="Malgun Gothic"/>
        <family val="2"/>
      </font>
    </dxf>
    <dxf>
      <border>
        <bottom style="medium">
          <color theme="6" tint="0.39994506668294322"/>
        </bottom>
      </border>
    </dxf>
    <dxf>
      <font>
        <strike val="0"/>
        <outline val="0"/>
        <shadow val="0"/>
        <vertAlign val="baseline"/>
        <name val="Malgun Gothic"/>
        <family val="2"/>
      </font>
      <border diagonalUp="0" diagonalDown="0">
        <left style="medium">
          <color theme="6" tint="0.39994506668294322"/>
        </left>
        <right style="medium">
          <color theme="6" tint="0.39994506668294322"/>
        </right>
        <top/>
        <bottom/>
        <vertical style="medium">
          <color theme="6" tint="0.39994506668294322"/>
        </vertical>
        <horizontal style="medium">
          <color theme="6" tint="0.39994506668294322"/>
        </horizontal>
      </border>
    </dxf>
    <dxf>
      <font>
        <strike val="0"/>
        <outline val="0"/>
        <shadow val="0"/>
        <vertAlign val="baseline"/>
        <name val="Malgun Gothic"/>
        <family val="2"/>
      </font>
      <fill>
        <patternFill patternType="solid">
          <fgColor indexed="64"/>
          <bgColor theme="6" tint="0.79998168889431442"/>
        </patternFill>
      </fill>
      <alignment horizontal="right" vertical="center" textRotation="0" wrapText="0" indent="0" justifyLastLine="0" shrinkToFit="0" readingOrder="0"/>
      <border diagonalUp="0" diagonalDown="0">
        <left style="medium">
          <color theme="6" tint="0.39994506668294322"/>
        </left>
        <right/>
        <top/>
        <bottom/>
      </border>
    </dxf>
    <dxf>
      <font>
        <strike val="0"/>
        <outline val="0"/>
        <shadow val="0"/>
        <u val="none"/>
        <vertAlign val="baseline"/>
        <sz val="9"/>
        <color theme="1"/>
        <name val="Malgun Gothic"/>
        <family val="2"/>
        <scheme val="minor"/>
      </font>
      <numFmt numFmtId="176" formatCode="&quot;₩&quot;#,##0.00_);[Red]\(&quot;₩&quot;#,##0.00\)"/>
      <fill>
        <patternFill patternType="solid">
          <fgColor indexed="64"/>
          <bgColor theme="6" tint="0.79998168889431442"/>
        </patternFill>
      </fill>
      <alignment horizontal="right" vertical="center" textRotation="0" wrapText="0" indent="0" justifyLastLine="0" shrinkToFit="0" readingOrder="0"/>
      <border diagonalUp="0" diagonalDown="0">
        <left style="medium">
          <color theme="6" tint="0.39994506668294322"/>
        </left>
        <right/>
        <top style="medium">
          <color theme="6" tint="0.39994506668294322"/>
        </top>
        <bottom style="medium">
          <color theme="6" tint="0.39994506668294322"/>
        </bottom>
      </border>
    </dxf>
    <dxf>
      <font>
        <strike val="0"/>
        <outline val="0"/>
        <shadow val="0"/>
        <u val="none"/>
        <vertAlign val="baseline"/>
        <sz val="9"/>
        <color theme="1"/>
        <name val="Malgun Gothic"/>
        <family val="2"/>
        <scheme val="minor"/>
      </font>
      <fill>
        <patternFill patternType="solid">
          <fgColor indexed="64"/>
          <bgColor theme="6" tint="0.79998168889431442"/>
        </patternFill>
      </fill>
      <alignment horizontal="right" vertical="center" textRotation="0" wrapText="0" indent="0" justifyLastLine="0" shrinkToFit="0" readingOrder="0"/>
      <border diagonalUp="0" diagonalDown="0">
        <left style="medium">
          <color theme="6" tint="0.39994506668294322"/>
        </left>
        <right style="medium">
          <color theme="6" tint="0.39994506668294322"/>
        </right>
        <top/>
        <bottom/>
      </border>
    </dxf>
    <dxf>
      <font>
        <strike val="0"/>
        <outline val="0"/>
        <shadow val="0"/>
        <vertAlign val="baseline"/>
        <name val="Malgun Gothic"/>
        <family val="2"/>
      </font>
      <numFmt numFmtId="176" formatCode="&quot;₩&quot;#,##0.00_);[Red]\(&quot;₩&quot;#,##0.00\)"/>
      <fill>
        <patternFill patternType="solid">
          <fgColor indexed="64"/>
          <bgColor theme="0"/>
        </patternFill>
      </fill>
      <alignment horizontal="right" vertical="center" textRotation="0" wrapText="0" indent="0" justifyLastLine="0" shrinkToFit="0" readingOrder="0"/>
      <border diagonalUp="0" diagonalDown="0">
        <left style="medium">
          <color theme="6" tint="0.39994506668294322"/>
        </left>
        <right style="medium">
          <color theme="6" tint="0.39994506668294322"/>
        </right>
        <top style="medium">
          <color theme="6" tint="0.39994506668294322"/>
        </top>
        <bottom style="medium">
          <color theme="6" tint="0.39994506668294322"/>
        </bottom>
      </border>
    </dxf>
    <dxf>
      <font>
        <strike val="0"/>
        <outline val="0"/>
        <shadow val="0"/>
        <u val="none"/>
        <vertAlign val="baseline"/>
        <sz val="9"/>
        <color theme="1"/>
        <name val="Malgun Gothic"/>
        <family val="2"/>
        <scheme val="minor"/>
      </font>
      <fill>
        <patternFill patternType="solid">
          <fgColor indexed="64"/>
          <bgColor theme="6" tint="0.79998168889431442"/>
        </patternFill>
      </fill>
      <alignment horizontal="right" vertical="center" textRotation="0" wrapText="0" indent="0" justifyLastLine="0" shrinkToFit="0" readingOrder="0"/>
      <border diagonalUp="0" diagonalDown="0">
        <left style="medium">
          <color theme="6" tint="0.39994506668294322"/>
        </left>
        <right style="medium">
          <color theme="6" tint="0.39994506668294322"/>
        </right>
        <top/>
        <bottom/>
      </border>
    </dxf>
    <dxf>
      <font>
        <strike val="0"/>
        <outline val="0"/>
        <shadow val="0"/>
        <vertAlign val="baseline"/>
        <name val="Malgun Gothic"/>
        <family val="2"/>
      </font>
      <numFmt numFmtId="176" formatCode="&quot;₩&quot;#,##0.00_);[Red]\(&quot;₩&quot;#,##0.00\)"/>
      <fill>
        <patternFill patternType="solid">
          <fgColor indexed="64"/>
          <bgColor theme="0"/>
        </patternFill>
      </fill>
      <alignment horizontal="right" vertical="center" textRotation="0" wrapText="0" indent="0" justifyLastLine="0" shrinkToFit="0" readingOrder="0"/>
      <border diagonalUp="0" diagonalDown="0">
        <left style="medium">
          <color theme="6" tint="0.39994506668294322"/>
        </left>
        <right style="medium">
          <color theme="6" tint="0.39994506668294322"/>
        </right>
        <top style="medium">
          <color theme="6" tint="0.39994506668294322"/>
        </top>
        <bottom style="medium">
          <color theme="6" tint="0.39994506668294322"/>
        </bottom>
        <vertical style="medium">
          <color theme="6" tint="0.39994506668294322"/>
        </vertical>
        <horizontal style="medium">
          <color theme="6" tint="0.39994506668294322"/>
        </horizontal>
      </border>
    </dxf>
    <dxf>
      <font>
        <strike val="0"/>
        <outline val="0"/>
        <shadow val="0"/>
        <u val="none"/>
        <vertAlign val="baseline"/>
        <sz val="9"/>
        <color theme="1"/>
        <name val="Malgun Gothic"/>
        <family val="2"/>
        <scheme val="minor"/>
      </font>
      <fill>
        <patternFill patternType="solid">
          <fgColor indexed="64"/>
          <bgColor theme="6" tint="0.79998168889431442"/>
        </patternFill>
      </fill>
      <alignment horizontal="right" vertical="center" textRotation="0" wrapText="0" indent="0" justifyLastLine="0" shrinkToFit="0" readingOrder="0"/>
      <border diagonalUp="0" diagonalDown="0">
        <left style="medium">
          <color theme="6" tint="0.39994506668294322"/>
        </left>
        <right style="medium">
          <color theme="6" tint="0.39994506668294322"/>
        </right>
        <top/>
        <bottom/>
      </border>
    </dxf>
    <dxf>
      <font>
        <strike val="0"/>
        <outline val="0"/>
        <shadow val="0"/>
        <vertAlign val="baseline"/>
        <name val="Malgun Gothic"/>
        <family val="2"/>
      </font>
      <numFmt numFmtId="176" formatCode="&quot;₩&quot;#,##0.00_);[Red]\(&quot;₩&quot;#,##0.00\)"/>
      <fill>
        <patternFill patternType="solid">
          <fgColor indexed="64"/>
          <bgColor theme="0"/>
        </patternFill>
      </fill>
      <alignment horizontal="right" vertical="center" textRotation="0" wrapText="0" indent="0" justifyLastLine="0" shrinkToFit="0" readingOrder="0"/>
      <border diagonalUp="0" diagonalDown="0">
        <left style="medium">
          <color theme="6" tint="0.39994506668294322"/>
        </left>
        <right style="medium">
          <color theme="6" tint="0.39994506668294322"/>
        </right>
        <top style="medium">
          <color theme="6" tint="0.39994506668294322"/>
        </top>
        <bottom style="medium">
          <color theme="6" tint="0.39994506668294322"/>
        </bottom>
        <vertical style="medium">
          <color theme="6" tint="0.39994506668294322"/>
        </vertical>
        <horizontal style="medium">
          <color theme="6" tint="0.39994506668294322"/>
        </horizontal>
      </border>
    </dxf>
    <dxf>
      <font>
        <strike val="0"/>
        <outline val="0"/>
        <shadow val="0"/>
        <u val="none"/>
        <vertAlign val="baseline"/>
        <sz val="9"/>
        <color theme="1"/>
        <name val="Malgun Gothic"/>
        <family val="2"/>
        <scheme val="minor"/>
      </font>
      <fill>
        <patternFill patternType="solid">
          <fgColor indexed="64"/>
          <bgColor theme="6" tint="0.79998168889431442"/>
        </patternFill>
      </fill>
      <alignment horizontal="right" vertical="center" textRotation="0" wrapText="0" indent="0" justifyLastLine="0" shrinkToFit="0" readingOrder="0"/>
      <border diagonalUp="0" diagonalDown="0">
        <left style="medium">
          <color theme="6" tint="0.39994506668294322"/>
        </left>
        <right style="medium">
          <color theme="6" tint="0.39994506668294322"/>
        </right>
        <top/>
        <bottom/>
      </border>
    </dxf>
    <dxf>
      <font>
        <strike val="0"/>
        <outline val="0"/>
        <shadow val="0"/>
        <vertAlign val="baseline"/>
        <name val="Malgun Gothic"/>
        <family val="2"/>
      </font>
      <numFmt numFmtId="176" formatCode="&quot;₩&quot;#,##0.00_);[Red]\(&quot;₩&quot;#,##0.00\)"/>
      <fill>
        <patternFill patternType="solid">
          <fgColor indexed="64"/>
          <bgColor theme="0"/>
        </patternFill>
      </fill>
      <alignment horizontal="right" vertical="center" textRotation="0" wrapText="0" indent="0" justifyLastLine="0" shrinkToFit="0" readingOrder="0"/>
      <border diagonalUp="0" diagonalDown="0">
        <left style="medium">
          <color theme="6" tint="0.39994506668294322"/>
        </left>
        <right style="medium">
          <color theme="6" tint="0.39994506668294322"/>
        </right>
        <top style="medium">
          <color theme="6" tint="0.39994506668294322"/>
        </top>
        <bottom style="medium">
          <color theme="6" tint="0.39994506668294322"/>
        </bottom>
        <vertical style="medium">
          <color theme="6" tint="0.39994506668294322"/>
        </vertical>
        <horizontal style="medium">
          <color theme="6" tint="0.39994506668294322"/>
        </horizontal>
      </border>
    </dxf>
    <dxf>
      <font>
        <strike val="0"/>
        <outline val="0"/>
        <shadow val="0"/>
        <u val="none"/>
        <vertAlign val="baseline"/>
        <sz val="9"/>
        <color theme="1"/>
        <name val="Malgun Gothic"/>
        <family val="2"/>
        <scheme val="minor"/>
      </font>
      <fill>
        <patternFill patternType="solid">
          <fgColor indexed="64"/>
          <bgColor theme="6" tint="0.79998168889431442"/>
        </patternFill>
      </fill>
      <alignment horizontal="right" vertical="center" textRotation="0" wrapText="0" indent="0" justifyLastLine="0" shrinkToFit="0" readingOrder="0"/>
      <border diagonalUp="0" diagonalDown="0">
        <left style="medium">
          <color theme="6" tint="0.39994506668294322"/>
        </left>
        <right style="medium">
          <color theme="6" tint="0.39994506668294322"/>
        </right>
        <top/>
        <bottom/>
      </border>
    </dxf>
    <dxf>
      <font>
        <strike val="0"/>
        <outline val="0"/>
        <shadow val="0"/>
        <vertAlign val="baseline"/>
        <name val="Malgun Gothic"/>
        <family val="2"/>
      </font>
      <numFmt numFmtId="176" formatCode="&quot;₩&quot;#,##0.00_);[Red]\(&quot;₩&quot;#,##0.00\)"/>
      <fill>
        <patternFill patternType="solid">
          <fgColor indexed="64"/>
          <bgColor theme="0"/>
        </patternFill>
      </fill>
      <alignment horizontal="right" vertical="center" textRotation="0" wrapText="0" indent="0" justifyLastLine="0" shrinkToFit="0" readingOrder="0"/>
      <border diagonalUp="0" diagonalDown="0">
        <left style="medium">
          <color theme="6" tint="0.39994506668294322"/>
        </left>
        <right style="medium">
          <color theme="6" tint="0.39994506668294322"/>
        </right>
        <top style="medium">
          <color theme="6" tint="0.39994506668294322"/>
        </top>
        <bottom style="medium">
          <color theme="6" tint="0.39994506668294322"/>
        </bottom>
        <vertical style="medium">
          <color theme="6" tint="0.39994506668294322"/>
        </vertical>
        <horizontal style="medium">
          <color theme="6" tint="0.39994506668294322"/>
        </horizontal>
      </border>
    </dxf>
    <dxf>
      <font>
        <strike val="0"/>
        <outline val="0"/>
        <shadow val="0"/>
        <u val="none"/>
        <vertAlign val="baseline"/>
        <sz val="9"/>
        <color theme="1"/>
        <name val="Malgun Gothic"/>
        <family val="2"/>
        <scheme val="minor"/>
      </font>
      <fill>
        <patternFill patternType="solid">
          <fgColor indexed="64"/>
          <bgColor theme="6" tint="0.79998168889431442"/>
        </patternFill>
      </fill>
      <alignment horizontal="right" vertical="center" textRotation="0" wrapText="0" indent="0" justifyLastLine="0" shrinkToFit="0" readingOrder="0"/>
      <border diagonalUp="0" diagonalDown="0">
        <left style="medium">
          <color theme="6" tint="0.39994506668294322"/>
        </left>
        <right style="medium">
          <color theme="6" tint="0.39994506668294322"/>
        </right>
        <top/>
        <bottom/>
      </border>
    </dxf>
    <dxf>
      <font>
        <strike val="0"/>
        <outline val="0"/>
        <shadow val="0"/>
        <vertAlign val="baseline"/>
        <name val="Malgun Gothic"/>
        <family val="2"/>
      </font>
      <numFmt numFmtId="176" formatCode="&quot;₩&quot;#,##0.00_);[Red]\(&quot;₩&quot;#,##0.00\)"/>
      <fill>
        <patternFill patternType="solid">
          <fgColor indexed="64"/>
          <bgColor theme="0"/>
        </patternFill>
      </fill>
      <alignment horizontal="right" vertical="center" textRotation="0" wrapText="0" indent="0" justifyLastLine="0" shrinkToFit="0" readingOrder="0"/>
      <border diagonalUp="0" diagonalDown="0">
        <left style="medium">
          <color theme="6" tint="0.39994506668294322"/>
        </left>
        <right style="medium">
          <color theme="6" tint="0.39994506668294322"/>
        </right>
        <top style="medium">
          <color theme="6" tint="0.39994506668294322"/>
        </top>
        <bottom style="medium">
          <color theme="6" tint="0.39994506668294322"/>
        </bottom>
        <vertical style="medium">
          <color theme="6" tint="0.39994506668294322"/>
        </vertical>
        <horizontal style="medium">
          <color theme="6" tint="0.39994506668294322"/>
        </horizontal>
      </border>
    </dxf>
    <dxf>
      <font>
        <strike val="0"/>
        <outline val="0"/>
        <shadow val="0"/>
        <u val="none"/>
        <vertAlign val="baseline"/>
        <sz val="9"/>
        <color theme="1"/>
        <name val="Malgun Gothic"/>
        <family val="2"/>
        <scheme val="minor"/>
      </font>
      <fill>
        <patternFill patternType="solid">
          <fgColor indexed="64"/>
          <bgColor theme="6" tint="0.79998168889431442"/>
        </patternFill>
      </fill>
      <alignment horizontal="right" vertical="center" textRotation="0" wrapText="0" indent="0" justifyLastLine="0" shrinkToFit="0" readingOrder="0"/>
      <border diagonalUp="0" diagonalDown="0">
        <left style="medium">
          <color theme="6" tint="0.39994506668294322"/>
        </left>
        <right style="medium">
          <color theme="6" tint="0.39994506668294322"/>
        </right>
        <top/>
        <bottom/>
      </border>
    </dxf>
    <dxf>
      <font>
        <strike val="0"/>
        <outline val="0"/>
        <shadow val="0"/>
        <vertAlign val="baseline"/>
        <name val="Malgun Gothic"/>
        <family val="2"/>
      </font>
      <numFmt numFmtId="176" formatCode="&quot;₩&quot;#,##0.00_);[Red]\(&quot;₩&quot;#,##0.00\)"/>
      <fill>
        <patternFill patternType="solid">
          <fgColor indexed="64"/>
          <bgColor theme="0"/>
        </patternFill>
      </fill>
      <alignment horizontal="right" vertical="center" textRotation="0" wrapText="0" indent="0" justifyLastLine="0" shrinkToFit="0" readingOrder="0"/>
      <border diagonalUp="0" diagonalDown="0">
        <left style="medium">
          <color theme="6" tint="0.39994506668294322"/>
        </left>
        <right style="medium">
          <color theme="6" tint="0.39994506668294322"/>
        </right>
        <top style="medium">
          <color theme="6" tint="0.39994506668294322"/>
        </top>
        <bottom style="medium">
          <color theme="6" tint="0.39994506668294322"/>
        </bottom>
        <vertical style="medium">
          <color theme="6" tint="0.39994506668294322"/>
        </vertical>
        <horizontal style="medium">
          <color theme="6" tint="0.39994506668294322"/>
        </horizontal>
      </border>
    </dxf>
    <dxf>
      <font>
        <strike val="0"/>
        <outline val="0"/>
        <shadow val="0"/>
        <u val="none"/>
        <vertAlign val="baseline"/>
        <sz val="9"/>
        <color theme="1"/>
        <name val="Malgun Gothic"/>
        <family val="2"/>
        <scheme val="minor"/>
      </font>
      <fill>
        <patternFill patternType="solid">
          <fgColor indexed="64"/>
          <bgColor theme="6" tint="0.79998168889431442"/>
        </patternFill>
      </fill>
      <alignment horizontal="right" vertical="center" textRotation="0" wrapText="0" indent="0" justifyLastLine="0" shrinkToFit="0" readingOrder="0"/>
      <border diagonalUp="0" diagonalDown="0">
        <left style="medium">
          <color theme="6" tint="0.39994506668294322"/>
        </left>
        <right style="medium">
          <color theme="6" tint="0.39994506668294322"/>
        </right>
        <top/>
        <bottom/>
      </border>
    </dxf>
    <dxf>
      <font>
        <strike val="0"/>
        <outline val="0"/>
        <shadow val="0"/>
        <vertAlign val="baseline"/>
        <name val="Malgun Gothic"/>
        <family val="2"/>
      </font>
      <numFmt numFmtId="176" formatCode="&quot;₩&quot;#,##0.00_);[Red]\(&quot;₩&quot;#,##0.00\)"/>
      <fill>
        <patternFill patternType="solid">
          <fgColor indexed="64"/>
          <bgColor theme="0"/>
        </patternFill>
      </fill>
      <alignment horizontal="right" vertical="center" textRotation="0" wrapText="0" indent="0" justifyLastLine="0" shrinkToFit="0" readingOrder="0"/>
      <border diagonalUp="0" diagonalDown="0">
        <left style="medium">
          <color theme="6" tint="0.39994506668294322"/>
        </left>
        <right style="medium">
          <color theme="6" tint="0.39994506668294322"/>
        </right>
        <top style="medium">
          <color theme="6" tint="0.39994506668294322"/>
        </top>
        <bottom style="medium">
          <color theme="6" tint="0.39994506668294322"/>
        </bottom>
        <vertical style="medium">
          <color theme="6" tint="0.39994506668294322"/>
        </vertical>
        <horizontal style="medium">
          <color theme="6" tint="0.39994506668294322"/>
        </horizontal>
      </border>
    </dxf>
    <dxf>
      <font>
        <strike val="0"/>
        <outline val="0"/>
        <shadow val="0"/>
        <u val="none"/>
        <vertAlign val="baseline"/>
        <sz val="9"/>
        <color theme="1"/>
        <name val="Malgun Gothic"/>
        <family val="2"/>
        <scheme val="minor"/>
      </font>
      <fill>
        <patternFill patternType="solid">
          <fgColor indexed="64"/>
          <bgColor theme="6" tint="0.79998168889431442"/>
        </patternFill>
      </fill>
      <alignment horizontal="right" vertical="center" textRotation="0" wrapText="0" indent="0" justifyLastLine="0" shrinkToFit="0" readingOrder="0"/>
      <border diagonalUp="0" diagonalDown="0">
        <left style="medium">
          <color theme="6" tint="0.39994506668294322"/>
        </left>
        <right style="medium">
          <color theme="6" tint="0.39994506668294322"/>
        </right>
        <top/>
        <bottom/>
      </border>
    </dxf>
    <dxf>
      <font>
        <strike val="0"/>
        <outline val="0"/>
        <shadow val="0"/>
        <vertAlign val="baseline"/>
        <name val="Malgun Gothic"/>
        <family val="2"/>
      </font>
      <numFmt numFmtId="176" formatCode="&quot;₩&quot;#,##0.00_);[Red]\(&quot;₩&quot;#,##0.00\)"/>
      <fill>
        <patternFill patternType="solid">
          <fgColor indexed="64"/>
          <bgColor theme="0"/>
        </patternFill>
      </fill>
      <alignment horizontal="right" vertical="center" textRotation="0" wrapText="0" indent="0" justifyLastLine="0" shrinkToFit="0" readingOrder="0"/>
      <border diagonalUp="0" diagonalDown="0">
        <left style="medium">
          <color theme="6" tint="0.39994506668294322"/>
        </left>
        <right style="medium">
          <color theme="6" tint="0.39994506668294322"/>
        </right>
        <top style="medium">
          <color theme="6" tint="0.39994506668294322"/>
        </top>
        <bottom style="medium">
          <color theme="6" tint="0.39994506668294322"/>
        </bottom>
        <vertical style="medium">
          <color theme="6" tint="0.39994506668294322"/>
        </vertical>
        <horizontal style="medium">
          <color theme="6" tint="0.39994506668294322"/>
        </horizontal>
      </border>
    </dxf>
    <dxf>
      <font>
        <strike val="0"/>
        <outline val="0"/>
        <shadow val="0"/>
        <u val="none"/>
        <vertAlign val="baseline"/>
        <sz val="9"/>
        <color theme="1"/>
        <name val="Malgun Gothic"/>
        <family val="2"/>
        <scheme val="minor"/>
      </font>
      <fill>
        <patternFill patternType="solid">
          <fgColor indexed="64"/>
          <bgColor theme="6" tint="0.79998168889431442"/>
        </patternFill>
      </fill>
      <alignment horizontal="right" vertical="center" textRotation="0" wrapText="0" indent="0" justifyLastLine="0" shrinkToFit="0" readingOrder="0"/>
      <border diagonalUp="0" diagonalDown="0">
        <left style="medium">
          <color theme="6" tint="0.39994506668294322"/>
        </left>
        <right style="medium">
          <color theme="6" tint="0.39994506668294322"/>
        </right>
        <top/>
        <bottom/>
      </border>
    </dxf>
    <dxf>
      <font>
        <strike val="0"/>
        <outline val="0"/>
        <shadow val="0"/>
        <vertAlign val="baseline"/>
        <name val="Malgun Gothic"/>
        <family val="2"/>
      </font>
      <numFmt numFmtId="176" formatCode="&quot;₩&quot;#,##0.00_);[Red]\(&quot;₩&quot;#,##0.00\)"/>
      <fill>
        <patternFill patternType="solid">
          <fgColor indexed="64"/>
          <bgColor theme="0"/>
        </patternFill>
      </fill>
      <alignment horizontal="right" vertical="center" textRotation="0" wrapText="0" indent="0" justifyLastLine="0" shrinkToFit="0" readingOrder="0"/>
      <border diagonalUp="0" diagonalDown="0">
        <left style="medium">
          <color theme="6" tint="0.39994506668294322"/>
        </left>
        <right style="medium">
          <color theme="6" tint="0.39994506668294322"/>
        </right>
        <top style="medium">
          <color theme="6" tint="0.39994506668294322"/>
        </top>
        <bottom style="medium">
          <color theme="6" tint="0.39994506668294322"/>
        </bottom>
        <vertical style="medium">
          <color theme="6" tint="0.39994506668294322"/>
        </vertical>
        <horizontal style="medium">
          <color theme="6" tint="0.39994506668294322"/>
        </horizontal>
      </border>
    </dxf>
    <dxf>
      <font>
        <strike val="0"/>
        <outline val="0"/>
        <shadow val="0"/>
        <u val="none"/>
        <vertAlign val="baseline"/>
        <sz val="9"/>
        <color theme="1"/>
        <name val="Malgun Gothic"/>
        <family val="2"/>
        <scheme val="minor"/>
      </font>
      <fill>
        <patternFill patternType="solid">
          <fgColor indexed="64"/>
          <bgColor theme="6" tint="0.79998168889431442"/>
        </patternFill>
      </fill>
      <alignment horizontal="right" vertical="center" textRotation="0" wrapText="0" indent="0" justifyLastLine="0" shrinkToFit="0" readingOrder="0"/>
      <border diagonalUp="0" diagonalDown="0">
        <left style="medium">
          <color theme="6" tint="0.39994506668294322"/>
        </left>
        <right style="medium">
          <color theme="6" tint="0.39994506668294322"/>
        </right>
        <top/>
        <bottom/>
      </border>
    </dxf>
    <dxf>
      <font>
        <strike val="0"/>
        <outline val="0"/>
        <shadow val="0"/>
        <vertAlign val="baseline"/>
        <name val="Malgun Gothic"/>
        <family val="2"/>
      </font>
      <numFmt numFmtId="176" formatCode="&quot;₩&quot;#,##0.00_);[Red]\(&quot;₩&quot;#,##0.00\)"/>
      <fill>
        <patternFill patternType="solid">
          <fgColor indexed="64"/>
          <bgColor theme="0"/>
        </patternFill>
      </fill>
      <alignment horizontal="right" vertical="center" textRotation="0" wrapText="0" indent="0" justifyLastLine="0" shrinkToFit="0" readingOrder="0"/>
      <border diagonalUp="0" diagonalDown="0">
        <left style="medium">
          <color theme="6" tint="0.39994506668294322"/>
        </left>
        <right style="medium">
          <color theme="6" tint="0.39994506668294322"/>
        </right>
        <top style="medium">
          <color theme="6" tint="0.39994506668294322"/>
        </top>
        <bottom style="medium">
          <color theme="6" tint="0.39994506668294322"/>
        </bottom>
        <vertical style="medium">
          <color theme="6" tint="0.39994506668294322"/>
        </vertical>
        <horizontal style="medium">
          <color theme="6" tint="0.39994506668294322"/>
        </horizontal>
      </border>
    </dxf>
    <dxf>
      <font>
        <strike val="0"/>
        <outline val="0"/>
        <shadow val="0"/>
        <u val="none"/>
        <vertAlign val="baseline"/>
        <sz val="9"/>
        <color theme="1"/>
        <name val="Malgun Gothic"/>
        <family val="2"/>
        <scheme val="minor"/>
      </font>
      <fill>
        <patternFill patternType="solid">
          <fgColor indexed="64"/>
          <bgColor theme="6" tint="0.79998168889431442"/>
        </patternFill>
      </fill>
      <alignment horizontal="right" vertical="center" textRotation="0" wrapText="0" indent="0" justifyLastLine="0" shrinkToFit="0" readingOrder="0"/>
      <border diagonalUp="0" diagonalDown="0">
        <left style="medium">
          <color theme="6" tint="0.39994506668294322"/>
        </left>
        <right style="medium">
          <color theme="6" tint="0.39994506668294322"/>
        </right>
        <top/>
        <bottom/>
      </border>
    </dxf>
    <dxf>
      <font>
        <strike val="0"/>
        <outline val="0"/>
        <shadow val="0"/>
        <vertAlign val="baseline"/>
        <name val="Malgun Gothic"/>
        <family val="2"/>
      </font>
      <numFmt numFmtId="176" formatCode="&quot;₩&quot;#,##0.00_);[Red]\(&quot;₩&quot;#,##0.00\)"/>
      <fill>
        <patternFill patternType="solid">
          <fgColor indexed="64"/>
          <bgColor theme="0"/>
        </patternFill>
      </fill>
      <alignment horizontal="right" vertical="center" textRotation="0" wrapText="0" indent="0" justifyLastLine="0" shrinkToFit="0" readingOrder="0"/>
      <border diagonalUp="0" diagonalDown="0">
        <left/>
        <right style="medium">
          <color theme="6" tint="0.39994506668294322"/>
        </right>
        <top style="medium">
          <color theme="6" tint="0.39994506668294322"/>
        </top>
        <bottom style="medium">
          <color theme="6" tint="0.39994506668294322"/>
        </bottom>
      </border>
    </dxf>
    <dxf>
      <font>
        <b/>
        <strike val="0"/>
        <outline val="0"/>
        <shadow val="0"/>
        <u val="none"/>
        <vertAlign val="baseline"/>
        <sz val="10"/>
        <color theme="1"/>
        <name val="Malgun Gothic"/>
        <family val="2"/>
        <scheme val="minor"/>
      </font>
      <fill>
        <patternFill patternType="solid">
          <fgColor indexed="64"/>
          <bgColor theme="6" tint="0.79998168889431442"/>
        </patternFill>
      </fill>
      <alignment horizontal="left" vertical="center" textRotation="0" wrapText="0" indent="2" justifyLastLine="0" shrinkToFit="0" readingOrder="0"/>
      <border diagonalUp="0" diagonalDown="0">
        <left/>
        <right style="medium">
          <color theme="6" tint="0.39991454817346722"/>
        </right>
        <top style="medium">
          <color theme="6" tint="0.39994506668294322"/>
        </top>
        <bottom/>
      </border>
    </dxf>
    <dxf>
      <font>
        <b/>
        <strike val="0"/>
        <outline val="0"/>
        <shadow val="0"/>
        <u val="none"/>
        <vertAlign val="baseline"/>
        <sz val="10"/>
        <color theme="0"/>
        <name val="Malgun Gothic"/>
        <family val="2"/>
        <scheme val="minor"/>
      </font>
      <fill>
        <patternFill patternType="solid">
          <fgColor indexed="64"/>
          <bgColor theme="3"/>
        </patternFill>
      </fill>
      <alignment horizontal="left" vertical="center" textRotation="0" wrapText="0" relativeIndent="-1" justifyLastLine="0" shrinkToFit="0" readingOrder="0"/>
      <border diagonalUp="0" diagonalDown="0">
        <left/>
        <right/>
        <top style="medium">
          <color theme="6" tint="0.39994506668294322"/>
        </top>
        <bottom style="medium">
          <color theme="6" tint="0.39994506668294322"/>
        </bottom>
      </border>
    </dxf>
    <dxf>
      <border>
        <top style="medium">
          <color theme="6" tint="0.39994506668294322"/>
        </top>
      </border>
    </dxf>
    <dxf>
      <font>
        <strike val="0"/>
        <outline val="0"/>
        <shadow val="0"/>
        <vertAlign val="baseline"/>
        <name val="Malgun Gothic"/>
        <family val="2"/>
      </font>
      <border diagonalUp="0" diagonalDown="0">
        <left style="medium">
          <color theme="6" tint="0.39994506668294322"/>
        </left>
        <right style="medium">
          <color theme="6" tint="0.39994506668294322"/>
        </right>
        <top/>
        <bottom/>
        <vertical style="medium">
          <color theme="6" tint="0.39994506668294322"/>
        </vertical>
        <horizontal style="medium">
          <color theme="6" tint="0.39994506668294322"/>
        </horizontal>
      </border>
    </dxf>
    <dxf>
      <border diagonalUp="0" diagonalDown="0">
        <left style="medium">
          <color theme="6" tint="0.39994506668294322"/>
        </left>
        <right style="medium">
          <color theme="6" tint="0.39994506668294322"/>
        </right>
        <top style="medium">
          <color theme="6" tint="0.39994506668294322"/>
        </top>
        <bottom style="medium">
          <color theme="6" tint="0.39994506668294322"/>
        </bottom>
      </border>
    </dxf>
    <dxf>
      <font>
        <strike val="0"/>
        <outline val="0"/>
        <shadow val="0"/>
        <vertAlign val="baseline"/>
        <name val="Malgun Gothic"/>
        <family val="2"/>
      </font>
    </dxf>
    <dxf>
      <border>
        <bottom style="medium">
          <color theme="6" tint="0.39994506668294322"/>
        </bottom>
      </border>
    </dxf>
    <dxf>
      <font>
        <strike val="0"/>
        <outline val="0"/>
        <shadow val="0"/>
        <vertAlign val="baseline"/>
        <name val="Malgun Gothic"/>
        <family val="2"/>
      </font>
      <border diagonalUp="0" diagonalDown="0">
        <left style="medium">
          <color theme="6" tint="0.39994506668294322"/>
        </left>
        <right style="medium">
          <color theme="6" tint="0.39994506668294322"/>
        </right>
        <top/>
        <bottom/>
        <vertical style="medium">
          <color theme="6" tint="0.39994506668294322"/>
        </vertical>
        <horizontal style="medium">
          <color theme="6" tint="0.39994506668294322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Malgun Gothic"/>
        <family val="2"/>
        <scheme val="minor"/>
      </font>
      <numFmt numFmtId="178" formatCode="&quot;$&quot;#,##0.00_);[Red]\(&quot;$&quot;#,##0.00\)"/>
      <fill>
        <patternFill patternType="solid">
          <fgColor indexed="64"/>
          <bgColor theme="6" tint="0.79998168889431442"/>
        </patternFill>
      </fill>
      <alignment horizontal="right" vertical="center" textRotation="0" wrapText="0" indent="0" justifyLastLine="0" shrinkToFit="0" readingOrder="0"/>
      <border diagonalUp="0" diagonalDown="0">
        <left style="medium">
          <color theme="6" tint="0.39994506668294322"/>
        </left>
        <right/>
        <top/>
        <bottom/>
      </border>
    </dxf>
    <dxf>
      <font>
        <strike val="0"/>
        <outline val="0"/>
        <shadow val="0"/>
        <u val="none"/>
        <vertAlign val="baseline"/>
        <sz val="9"/>
        <color theme="1"/>
        <name val="Malgun Gothic"/>
        <family val="2"/>
        <scheme val="minor"/>
      </font>
      <numFmt numFmtId="176" formatCode="&quot;₩&quot;#,##0.00_);[Red]\(&quot;₩&quot;#,##0.00\)"/>
      <fill>
        <patternFill patternType="solid">
          <fgColor indexed="64"/>
          <bgColor theme="6" tint="0.79998168889431442"/>
        </patternFill>
      </fill>
      <alignment horizontal="right" vertical="center" textRotation="0" wrapText="0" indent="0" justifyLastLine="0" shrinkToFit="0" readingOrder="0"/>
      <border diagonalUp="0" diagonalDown="0">
        <left style="medium">
          <color theme="6" tint="0.39994506668294322"/>
        </left>
        <right/>
        <top style="medium">
          <color theme="6" tint="0.39994506668294322"/>
        </top>
        <bottom style="medium">
          <color theme="6" tint="0.3999450666829432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Malgun Gothic"/>
        <family val="2"/>
        <scheme val="minor"/>
      </font>
      <numFmt numFmtId="178" formatCode="&quot;$&quot;#,##0.00_);[Red]\(&quot;$&quot;#,##0.00\)"/>
      <fill>
        <patternFill patternType="solid">
          <fgColor indexed="64"/>
          <bgColor theme="6" tint="0.79998168889431442"/>
        </patternFill>
      </fill>
      <alignment horizontal="right" vertical="center" textRotation="0" wrapText="0" indent="0" justifyLastLine="0" shrinkToFit="0" readingOrder="0"/>
      <border diagonalUp="0" diagonalDown="0">
        <left style="medium">
          <color theme="6" tint="0.39994506668294322"/>
        </left>
        <right style="medium">
          <color theme="6" tint="0.39994506668294322"/>
        </right>
        <top/>
        <bottom/>
      </border>
    </dxf>
    <dxf>
      <font>
        <strike val="0"/>
        <outline val="0"/>
        <shadow val="0"/>
        <u val="none"/>
        <vertAlign val="baseline"/>
        <sz val="9"/>
        <color theme="1"/>
        <name val="Malgun Gothic"/>
        <family val="2"/>
        <scheme val="minor"/>
      </font>
      <numFmt numFmtId="176" formatCode="&quot;₩&quot;#,##0.00_);[Red]\(&quot;₩&quot;#,##0.00\)"/>
      <fill>
        <patternFill patternType="solid">
          <fgColor indexed="64"/>
          <bgColor theme="0"/>
        </patternFill>
      </fill>
      <alignment horizontal="right" vertical="center" textRotation="0" wrapText="0" indent="0" justifyLastLine="0" shrinkToFit="0" readingOrder="0"/>
      <border diagonalUp="0" diagonalDown="0">
        <left style="medium">
          <color theme="6" tint="0.39994506668294322"/>
        </left>
        <right style="medium">
          <color theme="6" tint="0.39994506668294322"/>
        </right>
        <top style="medium">
          <color theme="6" tint="0.39994506668294322"/>
        </top>
        <bottom style="medium">
          <color theme="6" tint="0.3999450666829432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Malgun Gothic"/>
        <family val="2"/>
        <scheme val="minor"/>
      </font>
      <numFmt numFmtId="178" formatCode="&quot;$&quot;#,##0.00_);[Red]\(&quot;$&quot;#,##0.00\)"/>
      <fill>
        <patternFill patternType="solid">
          <fgColor indexed="64"/>
          <bgColor theme="6" tint="0.79998168889431442"/>
        </patternFill>
      </fill>
      <alignment horizontal="right" vertical="center" textRotation="0" wrapText="0" indent="0" justifyLastLine="0" shrinkToFit="0" readingOrder="0"/>
      <border diagonalUp="0" diagonalDown="0">
        <left style="medium">
          <color theme="6" tint="0.39994506668294322"/>
        </left>
        <right style="medium">
          <color theme="6" tint="0.39994506668294322"/>
        </right>
        <top/>
        <bottom/>
      </border>
    </dxf>
    <dxf>
      <font>
        <strike val="0"/>
        <outline val="0"/>
        <shadow val="0"/>
        <u val="none"/>
        <vertAlign val="baseline"/>
        <sz val="9"/>
        <color theme="1"/>
        <name val="Malgun Gothic"/>
        <family val="2"/>
        <scheme val="minor"/>
      </font>
      <numFmt numFmtId="176" formatCode="&quot;₩&quot;#,##0.00_);[Red]\(&quot;₩&quot;#,##0.00\)"/>
      <fill>
        <patternFill patternType="solid">
          <fgColor indexed="64"/>
          <bgColor theme="0"/>
        </patternFill>
      </fill>
      <alignment horizontal="right" vertical="center" textRotation="0" wrapText="0" indent="0" justifyLastLine="0" shrinkToFit="0" readingOrder="0"/>
      <border diagonalUp="0" diagonalDown="0">
        <left style="medium">
          <color theme="6" tint="0.39994506668294322"/>
        </left>
        <right style="medium">
          <color theme="6" tint="0.39994506668294322"/>
        </right>
        <top style="medium">
          <color theme="6" tint="0.39994506668294322"/>
        </top>
        <bottom style="medium">
          <color theme="6" tint="0.39994506668294322"/>
        </bottom>
        <vertical style="medium">
          <color theme="6" tint="0.39994506668294322"/>
        </vertical>
        <horizontal style="medium">
          <color theme="6" tint="0.39994506668294322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Malgun Gothic"/>
        <family val="2"/>
        <scheme val="minor"/>
      </font>
      <numFmt numFmtId="178" formatCode="&quot;$&quot;#,##0.00_);[Red]\(&quot;$&quot;#,##0.00\)"/>
      <fill>
        <patternFill patternType="solid">
          <fgColor indexed="64"/>
          <bgColor theme="6" tint="0.79998168889431442"/>
        </patternFill>
      </fill>
      <alignment horizontal="right" vertical="center" textRotation="0" wrapText="0" indent="0" justifyLastLine="0" shrinkToFit="0" readingOrder="0"/>
      <border diagonalUp="0" diagonalDown="0">
        <left style="medium">
          <color theme="6" tint="0.39994506668294322"/>
        </left>
        <right style="medium">
          <color theme="6" tint="0.39994506668294322"/>
        </right>
        <top/>
        <bottom/>
      </border>
    </dxf>
    <dxf>
      <font>
        <strike val="0"/>
        <outline val="0"/>
        <shadow val="0"/>
        <u val="none"/>
        <vertAlign val="baseline"/>
        <sz val="9"/>
        <color theme="1"/>
        <name val="Malgun Gothic"/>
        <family val="2"/>
        <scheme val="minor"/>
      </font>
      <numFmt numFmtId="176" formatCode="&quot;₩&quot;#,##0.00_);[Red]\(&quot;₩&quot;#,##0.00\)"/>
      <fill>
        <patternFill patternType="solid">
          <fgColor indexed="64"/>
          <bgColor theme="0"/>
        </patternFill>
      </fill>
      <alignment horizontal="right" vertical="center" textRotation="0" wrapText="0" indent="0" justifyLastLine="0" shrinkToFit="0" readingOrder="0"/>
      <border diagonalUp="0" diagonalDown="0">
        <left style="medium">
          <color theme="6" tint="0.39994506668294322"/>
        </left>
        <right style="medium">
          <color theme="6" tint="0.39994506668294322"/>
        </right>
        <top style="medium">
          <color theme="6" tint="0.39994506668294322"/>
        </top>
        <bottom style="medium">
          <color theme="6" tint="0.39994506668294322"/>
        </bottom>
        <vertical style="medium">
          <color theme="6" tint="0.39994506668294322"/>
        </vertical>
        <horizontal style="medium">
          <color theme="6" tint="0.39994506668294322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Malgun Gothic"/>
        <family val="2"/>
        <scheme val="minor"/>
      </font>
      <numFmt numFmtId="178" formatCode="&quot;$&quot;#,##0.00_);[Red]\(&quot;$&quot;#,##0.00\)"/>
      <fill>
        <patternFill patternType="solid">
          <fgColor indexed="64"/>
          <bgColor theme="6" tint="0.79998168889431442"/>
        </patternFill>
      </fill>
      <alignment horizontal="right" vertical="center" textRotation="0" wrapText="0" indent="0" justifyLastLine="0" shrinkToFit="0" readingOrder="0"/>
      <border diagonalUp="0" diagonalDown="0">
        <left style="medium">
          <color theme="6" tint="0.39994506668294322"/>
        </left>
        <right style="medium">
          <color theme="6" tint="0.39994506668294322"/>
        </right>
        <top/>
        <bottom/>
      </border>
    </dxf>
    <dxf>
      <font>
        <strike val="0"/>
        <outline val="0"/>
        <shadow val="0"/>
        <u val="none"/>
        <vertAlign val="baseline"/>
        <sz val="9"/>
        <color theme="1"/>
        <name val="Malgun Gothic"/>
        <family val="2"/>
        <scheme val="minor"/>
      </font>
      <numFmt numFmtId="176" formatCode="&quot;₩&quot;#,##0.00_);[Red]\(&quot;₩&quot;#,##0.00\)"/>
      <fill>
        <patternFill patternType="solid">
          <fgColor indexed="64"/>
          <bgColor theme="0"/>
        </patternFill>
      </fill>
      <alignment horizontal="right" vertical="center" textRotation="0" wrapText="0" indent="0" justifyLastLine="0" shrinkToFit="0" readingOrder="0"/>
      <border diagonalUp="0" diagonalDown="0">
        <left style="medium">
          <color theme="6" tint="0.39994506668294322"/>
        </left>
        <right style="medium">
          <color theme="6" tint="0.39994506668294322"/>
        </right>
        <top style="medium">
          <color theme="6" tint="0.39994506668294322"/>
        </top>
        <bottom style="medium">
          <color theme="6" tint="0.39994506668294322"/>
        </bottom>
        <vertical style="medium">
          <color theme="6" tint="0.39994506668294322"/>
        </vertical>
        <horizontal style="medium">
          <color theme="6" tint="0.39994506668294322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Malgun Gothic"/>
        <family val="2"/>
        <scheme val="minor"/>
      </font>
      <numFmt numFmtId="178" formatCode="&quot;$&quot;#,##0.00_);[Red]\(&quot;$&quot;#,##0.00\)"/>
      <fill>
        <patternFill patternType="solid">
          <fgColor indexed="64"/>
          <bgColor theme="6" tint="0.79998168889431442"/>
        </patternFill>
      </fill>
      <alignment horizontal="right" vertical="center" textRotation="0" wrapText="0" indent="0" justifyLastLine="0" shrinkToFit="0" readingOrder="0"/>
      <border diagonalUp="0" diagonalDown="0">
        <left style="medium">
          <color theme="6" tint="0.39994506668294322"/>
        </left>
        <right style="medium">
          <color theme="6" tint="0.39994506668294322"/>
        </right>
        <top/>
        <bottom/>
      </border>
    </dxf>
    <dxf>
      <font>
        <strike val="0"/>
        <outline val="0"/>
        <shadow val="0"/>
        <u val="none"/>
        <vertAlign val="baseline"/>
        <sz val="9"/>
        <color theme="1"/>
        <name val="Malgun Gothic"/>
        <family val="2"/>
        <scheme val="minor"/>
      </font>
      <numFmt numFmtId="176" formatCode="&quot;₩&quot;#,##0.00_);[Red]\(&quot;₩&quot;#,##0.00\)"/>
      <fill>
        <patternFill patternType="solid">
          <fgColor indexed="64"/>
          <bgColor theme="0"/>
        </patternFill>
      </fill>
      <alignment horizontal="right" vertical="center" textRotation="0" wrapText="0" indent="0" justifyLastLine="0" shrinkToFit="0" readingOrder="0"/>
      <border diagonalUp="0" diagonalDown="0">
        <left style="medium">
          <color theme="6" tint="0.39994506668294322"/>
        </left>
        <right style="medium">
          <color theme="6" tint="0.39994506668294322"/>
        </right>
        <top style="medium">
          <color theme="6" tint="0.39994506668294322"/>
        </top>
        <bottom style="medium">
          <color theme="6" tint="0.39994506668294322"/>
        </bottom>
        <vertical style="medium">
          <color theme="6" tint="0.39994506668294322"/>
        </vertical>
        <horizontal style="medium">
          <color theme="6" tint="0.39994506668294322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Malgun Gothic"/>
        <family val="2"/>
        <scheme val="minor"/>
      </font>
      <numFmt numFmtId="178" formatCode="&quot;$&quot;#,##0.00_);[Red]\(&quot;$&quot;#,##0.00\)"/>
      <fill>
        <patternFill patternType="solid">
          <fgColor indexed="64"/>
          <bgColor theme="6" tint="0.79998168889431442"/>
        </patternFill>
      </fill>
      <alignment horizontal="right" vertical="center" textRotation="0" wrapText="0" indent="0" justifyLastLine="0" shrinkToFit="0" readingOrder="0"/>
      <border diagonalUp="0" diagonalDown="0">
        <left style="medium">
          <color theme="6" tint="0.39994506668294322"/>
        </left>
        <right style="medium">
          <color theme="6" tint="0.39994506668294322"/>
        </right>
        <top/>
        <bottom/>
      </border>
    </dxf>
    <dxf>
      <font>
        <strike val="0"/>
        <outline val="0"/>
        <shadow val="0"/>
        <u val="none"/>
        <vertAlign val="baseline"/>
        <sz val="9"/>
        <color theme="1"/>
        <name val="Malgun Gothic"/>
        <family val="2"/>
        <scheme val="minor"/>
      </font>
      <numFmt numFmtId="176" formatCode="&quot;₩&quot;#,##0.00_);[Red]\(&quot;₩&quot;#,##0.00\)"/>
      <fill>
        <patternFill patternType="solid">
          <fgColor indexed="64"/>
          <bgColor theme="0"/>
        </patternFill>
      </fill>
      <alignment horizontal="right" vertical="center" textRotation="0" wrapText="0" indent="0" justifyLastLine="0" shrinkToFit="0" readingOrder="0"/>
      <border diagonalUp="0" diagonalDown="0">
        <left style="medium">
          <color theme="6" tint="0.39994506668294322"/>
        </left>
        <right style="medium">
          <color theme="6" tint="0.39994506668294322"/>
        </right>
        <top style="medium">
          <color theme="6" tint="0.39994506668294322"/>
        </top>
        <bottom style="medium">
          <color theme="6" tint="0.39994506668294322"/>
        </bottom>
        <vertical style="medium">
          <color theme="6" tint="0.39994506668294322"/>
        </vertical>
        <horizontal style="medium">
          <color theme="6" tint="0.39994506668294322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Malgun Gothic"/>
        <family val="2"/>
        <scheme val="minor"/>
      </font>
      <numFmt numFmtId="178" formatCode="&quot;$&quot;#,##0.00_);[Red]\(&quot;$&quot;#,##0.00\)"/>
      <fill>
        <patternFill patternType="solid">
          <fgColor indexed="64"/>
          <bgColor theme="6" tint="0.79998168889431442"/>
        </patternFill>
      </fill>
      <alignment horizontal="right" vertical="center" textRotation="0" wrapText="0" indent="0" justifyLastLine="0" shrinkToFit="0" readingOrder="0"/>
      <border diagonalUp="0" diagonalDown="0">
        <left style="medium">
          <color theme="6" tint="0.39994506668294322"/>
        </left>
        <right style="medium">
          <color theme="6" tint="0.39994506668294322"/>
        </right>
        <top/>
        <bottom/>
      </border>
    </dxf>
    <dxf>
      <font>
        <strike val="0"/>
        <outline val="0"/>
        <shadow val="0"/>
        <u val="none"/>
        <vertAlign val="baseline"/>
        <sz val="9"/>
        <color theme="1"/>
        <name val="Malgun Gothic"/>
        <family val="2"/>
        <scheme val="minor"/>
      </font>
      <numFmt numFmtId="176" formatCode="&quot;₩&quot;#,##0.00_);[Red]\(&quot;₩&quot;#,##0.00\)"/>
      <fill>
        <patternFill patternType="solid">
          <fgColor indexed="64"/>
          <bgColor theme="0"/>
        </patternFill>
      </fill>
      <alignment horizontal="right" vertical="center" textRotation="0" wrapText="0" indent="0" justifyLastLine="0" shrinkToFit="0" readingOrder="0"/>
      <border diagonalUp="0" diagonalDown="0">
        <left style="medium">
          <color theme="6" tint="0.39994506668294322"/>
        </left>
        <right style="medium">
          <color theme="6" tint="0.39994506668294322"/>
        </right>
        <top style="medium">
          <color theme="6" tint="0.39994506668294322"/>
        </top>
        <bottom style="medium">
          <color theme="6" tint="0.39994506668294322"/>
        </bottom>
        <vertical style="medium">
          <color theme="6" tint="0.39994506668294322"/>
        </vertical>
        <horizontal style="medium">
          <color theme="6" tint="0.39994506668294322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Malgun Gothic"/>
        <family val="2"/>
        <scheme val="minor"/>
      </font>
      <numFmt numFmtId="178" formatCode="&quot;$&quot;#,##0.00_);[Red]\(&quot;$&quot;#,##0.00\)"/>
      <fill>
        <patternFill patternType="solid">
          <fgColor indexed="64"/>
          <bgColor theme="6" tint="0.79998168889431442"/>
        </patternFill>
      </fill>
      <alignment horizontal="right" vertical="center" textRotation="0" wrapText="0" indent="0" justifyLastLine="0" shrinkToFit="0" readingOrder="0"/>
      <border diagonalUp="0" diagonalDown="0">
        <left style="medium">
          <color theme="6" tint="0.39994506668294322"/>
        </left>
        <right style="medium">
          <color theme="6" tint="0.39994506668294322"/>
        </right>
        <top/>
        <bottom/>
      </border>
    </dxf>
    <dxf>
      <font>
        <strike val="0"/>
        <outline val="0"/>
        <shadow val="0"/>
        <u val="none"/>
        <vertAlign val="baseline"/>
        <sz val="9"/>
        <color theme="1"/>
        <name val="Malgun Gothic"/>
        <family val="2"/>
        <scheme val="minor"/>
      </font>
      <numFmt numFmtId="176" formatCode="&quot;₩&quot;#,##0.00_);[Red]\(&quot;₩&quot;#,##0.00\)"/>
      <fill>
        <patternFill patternType="solid">
          <fgColor indexed="64"/>
          <bgColor theme="0"/>
        </patternFill>
      </fill>
      <alignment horizontal="right" vertical="center" textRotation="0" wrapText="0" indent="0" justifyLastLine="0" shrinkToFit="0" readingOrder="0"/>
      <border diagonalUp="0" diagonalDown="0">
        <left style="medium">
          <color theme="6" tint="0.39994506668294322"/>
        </left>
        <right style="medium">
          <color theme="6" tint="0.39994506668294322"/>
        </right>
        <top style="medium">
          <color theme="6" tint="0.39994506668294322"/>
        </top>
        <bottom style="medium">
          <color theme="6" tint="0.39994506668294322"/>
        </bottom>
        <vertical style="medium">
          <color theme="6" tint="0.39994506668294322"/>
        </vertical>
        <horizontal style="medium">
          <color theme="6" tint="0.39994506668294322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Malgun Gothic"/>
        <family val="2"/>
        <scheme val="minor"/>
      </font>
      <numFmt numFmtId="178" formatCode="&quot;$&quot;#,##0.00_);[Red]\(&quot;$&quot;#,##0.00\)"/>
      <fill>
        <patternFill patternType="solid">
          <fgColor indexed="64"/>
          <bgColor theme="6" tint="0.79998168889431442"/>
        </patternFill>
      </fill>
      <alignment horizontal="right" vertical="center" textRotation="0" wrapText="0" indent="0" justifyLastLine="0" shrinkToFit="0" readingOrder="0"/>
      <border diagonalUp="0" diagonalDown="0">
        <left style="medium">
          <color theme="6" tint="0.39994506668294322"/>
        </left>
        <right style="medium">
          <color theme="6" tint="0.39994506668294322"/>
        </right>
        <top/>
        <bottom/>
      </border>
    </dxf>
    <dxf>
      <font>
        <strike val="0"/>
        <outline val="0"/>
        <shadow val="0"/>
        <u val="none"/>
        <vertAlign val="baseline"/>
        <sz val="9"/>
        <color theme="1"/>
        <name val="Malgun Gothic"/>
        <family val="2"/>
        <scheme val="minor"/>
      </font>
      <numFmt numFmtId="176" formatCode="&quot;₩&quot;#,##0.00_);[Red]\(&quot;₩&quot;#,##0.00\)"/>
      <fill>
        <patternFill patternType="solid">
          <fgColor indexed="64"/>
          <bgColor theme="0"/>
        </patternFill>
      </fill>
      <alignment horizontal="right" vertical="center" textRotation="0" wrapText="0" indent="0" justifyLastLine="0" shrinkToFit="0" readingOrder="0"/>
      <border diagonalUp="0" diagonalDown="0">
        <left style="medium">
          <color theme="6" tint="0.39994506668294322"/>
        </left>
        <right style="medium">
          <color theme="6" tint="0.39994506668294322"/>
        </right>
        <top style="medium">
          <color theme="6" tint="0.39994506668294322"/>
        </top>
        <bottom style="medium">
          <color theme="6" tint="0.39994506668294322"/>
        </bottom>
        <vertical style="medium">
          <color theme="6" tint="0.39994506668294322"/>
        </vertical>
        <horizontal style="medium">
          <color theme="6" tint="0.39994506668294322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Malgun Gothic"/>
        <family val="2"/>
        <scheme val="minor"/>
      </font>
      <numFmt numFmtId="178" formatCode="&quot;$&quot;#,##0.00_);[Red]\(&quot;$&quot;#,##0.00\)"/>
      <fill>
        <patternFill patternType="solid">
          <fgColor indexed="64"/>
          <bgColor theme="6" tint="0.79998168889431442"/>
        </patternFill>
      </fill>
      <alignment horizontal="right" vertical="center" textRotation="0" wrapText="0" indent="0" justifyLastLine="0" shrinkToFit="0" readingOrder="0"/>
      <border diagonalUp="0" diagonalDown="0">
        <left style="medium">
          <color theme="6" tint="0.39994506668294322"/>
        </left>
        <right style="medium">
          <color theme="6" tint="0.39994506668294322"/>
        </right>
        <top/>
        <bottom/>
      </border>
    </dxf>
    <dxf>
      <font>
        <strike val="0"/>
        <outline val="0"/>
        <shadow val="0"/>
        <u val="none"/>
        <vertAlign val="baseline"/>
        <sz val="9"/>
        <color theme="1"/>
        <name val="Malgun Gothic"/>
        <family val="2"/>
        <scheme val="minor"/>
      </font>
      <numFmt numFmtId="176" formatCode="&quot;₩&quot;#,##0.00_);[Red]\(&quot;₩&quot;#,##0.00\)"/>
      <fill>
        <patternFill patternType="solid">
          <fgColor indexed="64"/>
          <bgColor theme="0"/>
        </patternFill>
      </fill>
      <alignment horizontal="right" vertical="center" textRotation="0" wrapText="0" indent="0" justifyLastLine="0" shrinkToFit="0" readingOrder="0"/>
      <border diagonalUp="0" diagonalDown="0">
        <left style="medium">
          <color theme="6" tint="0.39994506668294322"/>
        </left>
        <right style="medium">
          <color theme="6" tint="0.39994506668294322"/>
        </right>
        <top style="medium">
          <color theme="6" tint="0.39994506668294322"/>
        </top>
        <bottom style="medium">
          <color theme="6" tint="0.39994506668294322"/>
        </bottom>
        <vertical style="medium">
          <color theme="6" tint="0.39994506668294322"/>
        </vertical>
        <horizontal style="medium">
          <color theme="6" tint="0.39994506668294322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Malgun Gothic"/>
        <family val="2"/>
        <scheme val="minor"/>
      </font>
      <numFmt numFmtId="178" formatCode="&quot;$&quot;#,##0.00_);[Red]\(&quot;$&quot;#,##0.00\)"/>
      <fill>
        <patternFill patternType="solid">
          <fgColor indexed="64"/>
          <bgColor theme="6" tint="0.79998168889431442"/>
        </patternFill>
      </fill>
      <alignment horizontal="right" vertical="center" textRotation="0" wrapText="0" indent="0" justifyLastLine="0" shrinkToFit="0" readingOrder="0"/>
      <border diagonalUp="0" diagonalDown="0">
        <left style="medium">
          <color theme="6" tint="0.39994506668294322"/>
        </left>
        <right style="medium">
          <color theme="6" tint="0.39994506668294322"/>
        </right>
        <top/>
        <bottom/>
      </border>
    </dxf>
    <dxf>
      <font>
        <strike val="0"/>
        <outline val="0"/>
        <shadow val="0"/>
        <u val="none"/>
        <vertAlign val="baseline"/>
        <sz val="9"/>
        <color theme="1"/>
        <name val="Malgun Gothic"/>
        <family val="2"/>
        <scheme val="minor"/>
      </font>
      <numFmt numFmtId="176" formatCode="&quot;₩&quot;#,##0.00_);[Red]\(&quot;₩&quot;#,##0.00\)"/>
      <fill>
        <patternFill patternType="solid">
          <fgColor indexed="64"/>
          <bgColor theme="0"/>
        </patternFill>
      </fill>
      <alignment horizontal="right" vertical="center" textRotation="0" wrapText="0" indent="0" justifyLastLine="0" shrinkToFit="0" readingOrder="0"/>
      <border diagonalUp="0" diagonalDown="0">
        <left style="medium">
          <color theme="6" tint="0.39994506668294322"/>
        </left>
        <right style="medium">
          <color theme="6" tint="0.39994506668294322"/>
        </right>
        <top style="medium">
          <color theme="6" tint="0.39994506668294322"/>
        </top>
        <bottom style="medium">
          <color theme="6" tint="0.39994506668294322"/>
        </bottom>
        <vertical style="medium">
          <color theme="6" tint="0.39994506668294322"/>
        </vertical>
        <horizontal style="medium">
          <color theme="6" tint="0.39994506668294322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Malgun Gothic"/>
        <family val="2"/>
        <scheme val="minor"/>
      </font>
      <numFmt numFmtId="178" formatCode="&quot;$&quot;#,##0.00_);[Red]\(&quot;$&quot;#,##0.00\)"/>
      <fill>
        <patternFill patternType="solid">
          <fgColor indexed="64"/>
          <bgColor theme="6" tint="0.79998168889431442"/>
        </patternFill>
      </fill>
      <alignment horizontal="right" vertical="center" textRotation="0" wrapText="0" indent="0" justifyLastLine="0" shrinkToFit="0" readingOrder="0"/>
      <border diagonalUp="0" diagonalDown="0">
        <left/>
        <right style="medium">
          <color theme="6" tint="0.39994506668294322"/>
        </right>
        <top/>
        <bottom/>
        <horizontal/>
      </border>
    </dxf>
    <dxf>
      <font>
        <strike val="0"/>
        <outline val="0"/>
        <shadow val="0"/>
        <u val="none"/>
        <vertAlign val="baseline"/>
        <sz val="9"/>
        <color theme="1"/>
        <name val="Malgun Gothic"/>
        <family val="2"/>
        <scheme val="minor"/>
      </font>
      <numFmt numFmtId="176" formatCode="&quot;₩&quot;#,##0.00_);[Red]\(&quot;₩&quot;#,##0.00\)"/>
      <fill>
        <patternFill patternType="solid">
          <fgColor indexed="64"/>
          <bgColor theme="0"/>
        </patternFill>
      </fill>
      <alignment horizontal="right" vertical="center" textRotation="0" wrapText="0" indent="0" justifyLastLine="0" shrinkToFit="0" readingOrder="0"/>
      <border diagonalUp="0" diagonalDown="0">
        <left/>
        <right style="medium">
          <color theme="6" tint="0.39994506668294322"/>
        </right>
        <top style="medium">
          <color theme="6" tint="0.39994506668294322"/>
        </top>
        <bottom style="medium">
          <color theme="6" tint="0.39994506668294322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Malgun Gothic"/>
        <family val="2"/>
        <scheme val="minor"/>
      </font>
      <fill>
        <patternFill patternType="solid">
          <fgColor indexed="64"/>
          <bgColor theme="6" tint="0.79998168889431442"/>
        </patternFill>
      </fill>
      <alignment horizontal="left" vertical="center" textRotation="0" wrapText="0" indent="2" justifyLastLine="0" shrinkToFit="0" readingOrder="0"/>
      <border diagonalUp="0" diagonalDown="0">
        <left style="medium">
          <color theme="6" tint="0.39988402966399123"/>
        </left>
        <right style="medium">
          <color theme="6" tint="0.39985351115451523"/>
        </right>
        <top style="medium">
          <color theme="6" tint="0.39994506668294322"/>
        </top>
        <bottom style="medium">
          <color theme="6" tint="0.39985351115451523"/>
        </bottom>
        <vertical/>
        <horizontal/>
      </border>
    </dxf>
    <dxf>
      <font>
        <b/>
        <strike val="0"/>
        <outline val="0"/>
        <shadow val="0"/>
        <u val="none"/>
        <vertAlign val="baseline"/>
        <sz val="10"/>
        <color theme="0"/>
        <name val="Malgun Gothic"/>
        <family val="2"/>
        <scheme val="minor"/>
      </font>
      <fill>
        <patternFill patternType="solid">
          <fgColor indexed="64"/>
          <bgColor theme="3"/>
        </patternFill>
      </fill>
      <alignment horizontal="left" vertical="center" textRotation="0" wrapText="0" relativeIndent="-1" justifyLastLine="0" shrinkToFit="0" readingOrder="0"/>
      <border diagonalUp="0" diagonalDown="0">
        <left style="medium">
          <color theme="6" tint="0.39988402966399123"/>
        </left>
        <right/>
        <top style="medium">
          <color theme="6" tint="0.39994506668294322"/>
        </top>
        <bottom style="medium">
          <color theme="6" tint="0.39994506668294322"/>
        </bottom>
      </border>
    </dxf>
    <dxf>
      <border>
        <top style="medium">
          <color theme="6" tint="0.39994506668294322"/>
        </top>
      </border>
    </dxf>
    <dxf>
      <font>
        <strike val="0"/>
        <outline val="0"/>
        <shadow val="0"/>
        <vertAlign val="baseline"/>
        <name val="Malgun Gothic"/>
        <family val="2"/>
      </font>
      <border diagonalUp="0" diagonalDown="0">
        <left style="medium">
          <color theme="6" tint="0.39994506668294322"/>
        </left>
        <right style="medium">
          <color theme="6" tint="0.39994506668294322"/>
        </right>
        <top/>
        <bottom/>
        <vertical style="medium">
          <color theme="6" tint="0.39994506668294322"/>
        </vertical>
        <horizontal style="medium">
          <color theme="6" tint="0.39994506668294322"/>
        </horizontal>
      </border>
    </dxf>
    <dxf>
      <border diagonalUp="0" diagonalDown="0">
        <left/>
        <right style="medium">
          <color theme="6" tint="0.39994506668294322"/>
        </right>
        <top/>
        <bottom/>
      </border>
    </dxf>
    <dxf>
      <font>
        <strike val="0"/>
        <outline val="0"/>
        <shadow val="0"/>
        <vertAlign val="baseline"/>
        <name val="Malgun Gothic"/>
        <family val="2"/>
      </font>
    </dxf>
    <dxf>
      <border>
        <bottom style="medium">
          <color theme="6" tint="0.39994506668294322"/>
        </bottom>
      </border>
    </dxf>
    <dxf>
      <font>
        <strike val="0"/>
        <outline val="0"/>
        <shadow val="0"/>
        <vertAlign val="baseline"/>
        <name val="Malgun Gothic"/>
        <family val="2"/>
      </font>
      <border diagonalUp="0" diagonalDown="0">
        <left style="medium">
          <color theme="6" tint="0.39994506668294322"/>
        </left>
        <right style="medium">
          <color theme="6" tint="0.39994506668294322"/>
        </right>
        <top/>
        <bottom/>
        <vertical style="medium">
          <color theme="6" tint="0.39994506668294322"/>
        </vertical>
        <horizontal style="medium">
          <color theme="6" tint="0.39994506668294322"/>
        </horizontal>
      </border>
    </dxf>
    <dxf>
      <font>
        <color auto="1"/>
      </font>
      <fill>
        <patternFill patternType="none">
          <bgColor auto="1"/>
        </patternFill>
      </fill>
      <border diagonalUp="0" diagonalDown="0">
        <left/>
        <right/>
        <top/>
        <bottom/>
        <vertical/>
        <horizontal style="medium">
          <color theme="6" tint="0.39994506668294322"/>
        </horizontal>
      </border>
    </dxf>
    <dxf>
      <font>
        <color theme="1"/>
      </font>
      <fill>
        <patternFill patternType="solid">
          <fgColor theme="0" tint="-0.14993743705557422"/>
          <bgColor theme="0"/>
        </patternFill>
      </fill>
      <border diagonalUp="0" diagonalDown="0">
        <left/>
        <right/>
        <top/>
        <bottom/>
        <vertical/>
        <horizontal style="medium">
          <color theme="6" tint="0.39994506668294322"/>
        </horizontal>
      </border>
    </dxf>
    <dxf>
      <font>
        <b val="0"/>
        <i val="0"/>
        <color theme="1"/>
      </font>
      <fill>
        <patternFill>
          <bgColor theme="6" tint="0.79998168889431442"/>
        </patternFill>
      </fill>
      <border diagonalUp="0" diagonalDown="0">
        <left/>
        <right/>
        <top/>
        <bottom/>
        <vertical/>
        <horizontal style="medium">
          <color theme="6" tint="0.39994506668294322"/>
        </horizontal>
      </border>
    </dxf>
    <dxf>
      <font>
        <color theme="0"/>
      </font>
      <fill>
        <patternFill>
          <fgColor theme="3"/>
          <bgColor theme="3"/>
        </patternFill>
      </fill>
      <border diagonalUp="0" diagonalDown="0">
        <left/>
        <right/>
        <top/>
        <bottom/>
        <vertical/>
        <horizontal style="medium">
          <color theme="6" tint="0.39994506668294322"/>
        </horizontal>
      </border>
    </dxf>
    <dxf>
      <font>
        <b/>
        <i val="0"/>
        <color theme="1"/>
      </font>
      <fill>
        <patternFill>
          <bgColor theme="6" tint="0.79998168889431442"/>
        </patternFill>
      </fill>
      <border diagonalUp="0" diagonalDown="0">
        <left/>
        <right/>
        <top style="medium">
          <color theme="6" tint="0.39994506668294322"/>
        </top>
        <bottom/>
        <vertical style="medium">
          <color theme="6" tint="0.39991454817346722"/>
        </vertical>
        <horizontal/>
      </border>
    </dxf>
    <dxf>
      <font>
        <color theme="6" tint="0.39994506668294322"/>
      </font>
      <fill>
        <patternFill>
          <bgColor theme="6" tint="0.39994506668294322"/>
        </patternFill>
      </fill>
      <border diagonalUp="0" diagonalDown="0">
        <left/>
        <right/>
        <top/>
        <bottom style="medium">
          <color theme="6" tint="0.39994506668294322"/>
        </bottom>
        <vertical/>
        <horizontal/>
      </border>
    </dxf>
    <dxf>
      <font>
        <b val="0"/>
        <i val="0"/>
        <color theme="1"/>
      </font>
      <fill>
        <patternFill>
          <bgColor theme="0"/>
        </patternFill>
      </fill>
      <border diagonalUp="0" diagonalDown="0">
        <left/>
        <right/>
        <top style="medium">
          <color theme="6" tint="0.39994506668294322"/>
        </top>
        <bottom style="medium">
          <color theme="6" tint="0.39994506668294322"/>
        </bottom>
        <vertical style="medium">
          <color theme="6" tint="0.39994506668294322"/>
        </vertical>
        <horizontal style="medium">
          <color theme="6" tint="0.39994506668294322"/>
        </horizontal>
      </border>
    </dxf>
  </dxfs>
  <tableStyles count="1" defaultPivotStyle="PivotStyleLight16">
    <tableStyle name="자세한 지출 추정 표 2" pivot="0" count="7" xr9:uid="{00000000-0011-0000-FFFF-FFFF00000000}">
      <tableStyleElement type="wholeTable" dxfId="529"/>
      <tableStyleElement type="headerRow" dxfId="528"/>
      <tableStyleElement type="totalRow" dxfId="527"/>
      <tableStyleElement type="firstColumn" dxfId="526"/>
      <tableStyleElement type="lastColumn" dxfId="525"/>
      <tableStyleElement type="firstRowStripe" size="9" dxfId="524"/>
      <tableStyleElement type="firstColumnStripe" dxfId="523"/>
    </tableStyle>
  </tableStyles>
  <colors>
    <mruColors>
      <color rgb="FF3B893D"/>
      <color rgb="FF99CCFF"/>
      <color rgb="FFFFCC99"/>
      <color rgb="FF800080"/>
      <color rgb="FF99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Malgun Gothic" panose="020B0503020000020004" pitchFamily="50" charset="-127"/>
                <a:ea typeface="Malgun Gothic" panose="020B0503020000020004" pitchFamily="50" charset="-127"/>
                <a:cs typeface="+mn-cs"/>
              </a:defRPr>
            </a:pPr>
            <a:r>
              <a:rPr lang="en-US">
                <a:solidFill>
                  <a:sysClr val="windowText" lastClr="000000"/>
                </a:solidFill>
              </a:rPr>
              <a:t>월별 지출</a:t>
            </a:r>
          </a:p>
        </c:rich>
      </c:tx>
      <c:layout>
        <c:manualLayout>
          <c:xMode val="edge"/>
          <c:yMode val="edge"/>
          <c:x val="1.0996591979294411E-2"/>
          <c:y val="8.9032056798246002E-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Malgun Gothic" panose="020B0503020000020004" pitchFamily="50" charset="-127"/>
              <a:ea typeface="Malgun Gothic" panose="020B0503020000020004" pitchFamily="50" charset="-127"/>
              <a:cs typeface="+mn-cs"/>
            </a:defRPr>
          </a:pPr>
          <a:endParaRPr lang="ko-KR"/>
        </a:p>
      </c:txPr>
    </c:title>
    <c:autoTitleDeleted val="0"/>
    <c:plotArea>
      <c:layout/>
      <c:barChart>
        <c:barDir val="col"/>
        <c:grouping val="clustered"/>
        <c:varyColors val="0"/>
        <c:ser>
          <c:idx val="1"/>
          <c:order val="1"/>
          <c:tx>
            <c:v>계획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'계획한 지출'!$C$36:$N$36</c:f>
              <c:numCache>
                <c:formatCode>"₩"#,##0.00_);[Red]\("₩"#,##0.00\)</c:formatCode>
                <c:ptCount val="12"/>
                <c:pt idx="0">
                  <c:v>131420</c:v>
                </c:pt>
                <c:pt idx="1">
                  <c:v>126820</c:v>
                </c:pt>
                <c:pt idx="2">
                  <c:v>126820</c:v>
                </c:pt>
                <c:pt idx="3">
                  <c:v>137695</c:v>
                </c:pt>
                <c:pt idx="4">
                  <c:v>129695</c:v>
                </c:pt>
                <c:pt idx="5">
                  <c:v>130495</c:v>
                </c:pt>
                <c:pt idx="6">
                  <c:v>134695</c:v>
                </c:pt>
                <c:pt idx="7">
                  <c:v>138918</c:v>
                </c:pt>
                <c:pt idx="8">
                  <c:v>135918</c:v>
                </c:pt>
                <c:pt idx="9">
                  <c:v>140918</c:v>
                </c:pt>
                <c:pt idx="10">
                  <c:v>136218</c:v>
                </c:pt>
                <c:pt idx="11">
                  <c:v>140018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35D-4DB7-A511-401DE3785DC9}"/>
            </c:ext>
          </c:extLst>
        </c:ser>
        <c:ser>
          <c:idx val="2"/>
          <c:order val="2"/>
          <c:tx>
            <c:v>실제</c:v>
          </c:tx>
          <c:spPr>
            <a:solidFill>
              <a:schemeClr val="accent4">
                <a:alpha val="25000"/>
              </a:schemeClr>
            </a:solidFill>
            <a:ln>
              <a:noFill/>
            </a:ln>
            <a:effectLst/>
          </c:spPr>
          <c:invertIfNegative val="0"/>
          <c:val>
            <c:numRef>
              <c:f>'실제 지출'!$C$36:$N$36</c:f>
              <c:numCache>
                <c:formatCode>"₩"#,##0.00_);[Red]\("₩"#,##0.00\)</c:formatCode>
                <c:ptCount val="12"/>
                <c:pt idx="0">
                  <c:v>129682</c:v>
                </c:pt>
                <c:pt idx="1">
                  <c:v>127804</c:v>
                </c:pt>
                <c:pt idx="2">
                  <c:v>125565</c:v>
                </c:pt>
                <c:pt idx="3">
                  <c:v>137394</c:v>
                </c:pt>
                <c:pt idx="4">
                  <c:v>128255</c:v>
                </c:pt>
                <c:pt idx="5">
                  <c:v>134239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35D-4DB7-A511-401DE3785DC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362146616"/>
        <c:axId val="362147008"/>
      </c:barChart>
      <c:lineChart>
        <c:grouping val="standard"/>
        <c:varyColors val="0"/>
        <c:ser>
          <c:idx val="0"/>
          <c:order val="0"/>
          <c:tx>
            <c:v>차이</c:v>
          </c:tx>
          <c:spPr>
            <a:ln w="28575" cap="rnd">
              <a:solidFill>
                <a:schemeClr val="accent3">
                  <a:shade val="65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'지출 차이'!$C$36:$N$36</c:f>
              <c:numCache>
                <c:formatCode>"₩"#,##0.00_);[Red]\("₩"#,##0.00\)</c:formatCode>
                <c:ptCount val="12"/>
                <c:pt idx="0">
                  <c:v>1738</c:v>
                </c:pt>
                <c:pt idx="1">
                  <c:v>-984</c:v>
                </c:pt>
                <c:pt idx="2">
                  <c:v>1255</c:v>
                </c:pt>
                <c:pt idx="3">
                  <c:v>301</c:v>
                </c:pt>
                <c:pt idx="4">
                  <c:v>1440</c:v>
                </c:pt>
                <c:pt idx="5">
                  <c:v>-3744</c:v>
                </c:pt>
                <c:pt idx="6">
                  <c:v>134695</c:v>
                </c:pt>
                <c:pt idx="7">
                  <c:v>138918</c:v>
                </c:pt>
                <c:pt idx="8">
                  <c:v>135918</c:v>
                </c:pt>
                <c:pt idx="9">
                  <c:v>140918</c:v>
                </c:pt>
                <c:pt idx="10">
                  <c:v>136218</c:v>
                </c:pt>
                <c:pt idx="11">
                  <c:v>140018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35D-4DB7-A511-401DE3785DC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62146616"/>
        <c:axId val="362147008"/>
      </c:lineChart>
      <c:catAx>
        <c:axId val="36214661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Malgun Gothic" panose="020B0503020000020004" pitchFamily="50" charset="-127"/>
                    <a:ea typeface="Malgun Gothic" panose="020B0503020000020004" pitchFamily="50" charset="-127"/>
                    <a:cs typeface="+mn-cs"/>
                  </a:defRPr>
                </a:pPr>
                <a:r>
                  <a:rPr lang="en-US"/>
                  <a:t>월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Malgun Gothic" panose="020B0503020000020004" pitchFamily="50" charset="-127"/>
                  <a:ea typeface="Malgun Gothic" panose="020B0503020000020004" pitchFamily="50" charset="-127"/>
                  <a:cs typeface="+mn-cs"/>
                </a:defRPr>
              </a:pPr>
              <a:endParaRPr lang="ko-KR"/>
            </a:p>
          </c:txPr>
        </c:title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Malgun Gothic" panose="020B0503020000020004" pitchFamily="50" charset="-127"/>
                <a:ea typeface="Malgun Gothic" panose="020B0503020000020004" pitchFamily="50" charset="-127"/>
                <a:cs typeface="+mn-cs"/>
              </a:defRPr>
            </a:pPr>
            <a:endParaRPr lang="ko-KR"/>
          </a:p>
        </c:txPr>
        <c:crossAx val="362147008"/>
        <c:crosses val="autoZero"/>
        <c:auto val="1"/>
        <c:lblAlgn val="ctr"/>
        <c:lblOffset val="100"/>
        <c:noMultiLvlLbl val="0"/>
      </c:catAx>
      <c:valAx>
        <c:axId val="362147008"/>
        <c:scaling>
          <c:orientation val="minMax"/>
        </c:scaling>
        <c:delete val="0"/>
        <c:axPos val="l"/>
        <c:majorGridlines>
          <c:spPr>
            <a:ln w="3175" cap="flat" cmpd="sng" algn="ctr">
              <a:solidFill>
                <a:schemeClr val="bg1">
                  <a:lumMod val="75000"/>
                  <a:alpha val="2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Malgun Gothic" panose="020B0503020000020004" pitchFamily="50" charset="-127"/>
                    <a:ea typeface="Malgun Gothic" panose="020B0503020000020004" pitchFamily="50" charset="-127"/>
                    <a:cs typeface="+mn-cs"/>
                  </a:defRPr>
                </a:pPr>
                <a:r>
                  <a:rPr lang="en-US">
                    <a:solidFill>
                      <a:sysClr val="windowText" lastClr="000000"/>
                    </a:solidFill>
                  </a:rPr>
                  <a:t>비용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Malgun Gothic" panose="020B0503020000020004" pitchFamily="50" charset="-127"/>
                  <a:ea typeface="Malgun Gothic" panose="020B0503020000020004" pitchFamily="50" charset="-127"/>
                  <a:cs typeface="+mn-cs"/>
                </a:defRPr>
              </a:pPr>
              <a:endParaRPr lang="ko-KR"/>
            </a:p>
          </c:txPr>
        </c:title>
        <c:numFmt formatCode="&quot;₩&quot;#,##0_);[Red]\(&quot;₩&quot;#,##0\)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Malgun Gothic" panose="020B0503020000020004" pitchFamily="50" charset="-127"/>
                <a:ea typeface="Malgun Gothic" panose="020B0503020000020004" pitchFamily="50" charset="-127"/>
                <a:cs typeface="+mn-cs"/>
              </a:defRPr>
            </a:pPr>
            <a:endParaRPr lang="ko-KR"/>
          </a:p>
        </c:txPr>
        <c:crossAx val="362146616"/>
        <c:crosses val="autoZero"/>
        <c:crossBetween val="between"/>
        <c:dispUnits>
          <c:builtInUnit val="tenThousands"/>
          <c:dispUnitsLbl>
            <c:layout>
              <c:manualLayout>
                <c:xMode val="edge"/>
                <c:yMode val="edge"/>
                <c:x val="4.1853475435826903E-2"/>
                <c:y val="0.11317096082764759"/>
              </c:manualLayout>
            </c:layout>
            <c:spPr>
              <a:noFill/>
              <a:ln>
                <a:noFill/>
              </a:ln>
              <a:effectLst/>
            </c:spPr>
            <c:txPr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Malgun Gothic" panose="020B0503020000020004" pitchFamily="50" charset="-127"/>
                    <a:ea typeface="Malgun Gothic" panose="020B0503020000020004" pitchFamily="50" charset="-127"/>
                    <a:cs typeface="+mn-cs"/>
                  </a:defRPr>
                </a:pPr>
                <a:endParaRPr lang="ko-KR"/>
              </a:p>
            </c:txPr>
          </c:dispUnitsLbl>
        </c:dispUnits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1.8591667626513452E-4"/>
          <c:y val="5.3074322488831559E-2"/>
          <c:w val="0.33878368215294763"/>
          <c:h val="3.579789723106797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Malgun Gothic" panose="020B0503020000020004" pitchFamily="50" charset="-127"/>
              <a:ea typeface="Malgun Gothic" panose="020B0503020000020004" pitchFamily="50" charset="-127"/>
              <a:cs typeface="+mn-cs"/>
            </a:defRPr>
          </a:pPr>
          <a:endParaRPr lang="ko-KR"/>
        </a:p>
      </c:txPr>
    </c:legend>
    <c:plotVisOnly val="1"/>
    <c:dispBlanksAs val="gap"/>
    <c:showDLblsOverMax val="0"/>
  </c:chart>
  <c:spPr>
    <a:solidFill>
      <a:schemeClr val="accent3">
        <a:lumMod val="20000"/>
        <a:lumOff val="80000"/>
      </a:schemeClr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chemeClr val="tx1"/>
          </a:solidFill>
          <a:latin typeface="Malgun Gothic" panose="020B0503020000020004" pitchFamily="50" charset="-127"/>
          <a:ea typeface="Malgun Gothic" panose="020B0503020000020004" pitchFamily="50" charset="-127"/>
        </a:defRPr>
      </a:pPr>
      <a:endParaRPr lang="ko-KR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847698573031214"/>
          <c:y val="0.17330539881195353"/>
          <c:w val="0.79968138263906308"/>
          <c:h val="0.71853463513379401"/>
        </c:manualLayout>
      </c:layout>
      <c:barChart>
        <c:barDir val="bar"/>
        <c:grouping val="clustered"/>
        <c:varyColors val="0"/>
        <c:ser>
          <c:idx val="1"/>
          <c:order val="0"/>
          <c:tx>
            <c:strRef>
              <c:f>'지출 분석'!$C$5</c:f>
              <c:strCache>
                <c:ptCount val="1"/>
                <c:pt idx="0">
                  <c:v>계획한 지출</c:v>
                </c:pt>
              </c:strCache>
            </c:strRef>
          </c:tx>
          <c:spPr>
            <a:solidFill>
              <a:schemeClr val="accent2"/>
            </a:solidFill>
            <a:ln w="19050">
              <a:noFill/>
            </a:ln>
            <a:effectLst/>
          </c:spPr>
          <c:invertIfNegative val="0"/>
          <c:cat>
            <c:strRef>
              <c:f>'지출 분석'!$B$6:$B$9</c:f>
              <c:strCache>
                <c:ptCount val="4"/>
                <c:pt idx="0">
                  <c:v>직원 비용</c:v>
                </c:pt>
                <c:pt idx="1">
                  <c:v>사무 비용</c:v>
                </c:pt>
                <c:pt idx="2">
                  <c:v>마케팅 비용</c:v>
                </c:pt>
                <c:pt idx="3">
                  <c:v>교육/출장</c:v>
                </c:pt>
              </c:strCache>
            </c:strRef>
          </c:cat>
          <c:val>
            <c:numRef>
              <c:f>'지출 분석'!$C$6:$C$9</c:f>
              <c:numCache>
                <c:formatCode>"₩"#,##0.00_);[Red]\("₩"#,##0.00\)</c:formatCode>
                <c:ptCount val="4"/>
                <c:pt idx="0">
                  <c:v>1355090</c:v>
                </c:pt>
                <c:pt idx="1">
                  <c:v>138740</c:v>
                </c:pt>
                <c:pt idx="2">
                  <c:v>67800</c:v>
                </c:pt>
                <c:pt idx="3">
                  <c:v>48000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F485-485F-B818-D5944CB69AAB}"/>
            </c:ext>
          </c:extLst>
        </c:ser>
        <c:ser>
          <c:idx val="0"/>
          <c:order val="1"/>
          <c:tx>
            <c:strRef>
              <c:f>'지출 분석'!$D$5</c:f>
              <c:strCache>
                <c:ptCount val="1"/>
                <c:pt idx="0">
                  <c:v>실제 지출</c:v>
                </c:pt>
              </c:strCache>
            </c:strRef>
          </c:tx>
          <c:spPr>
            <a:solidFill>
              <a:schemeClr val="accent4"/>
            </a:solidFill>
            <a:ln w="19050">
              <a:noFill/>
            </a:ln>
            <a:effectLst/>
          </c:spPr>
          <c:invertIfNegative val="0"/>
          <c:dPt>
            <c:idx val="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1-F485-485F-B818-D5944CB69AAB}"/>
              </c:ext>
            </c:extLst>
          </c:dPt>
          <c:dPt>
            <c:idx val="1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3-F485-485F-B818-D5944CB69AAB}"/>
              </c:ext>
            </c:extLst>
          </c:dPt>
          <c:dPt>
            <c:idx val="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5-F485-485F-B818-D5944CB69AAB}"/>
              </c:ext>
            </c:extLst>
          </c:dPt>
          <c:dPt>
            <c:idx val="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7-F485-485F-B818-D5944CB69AAB}"/>
              </c:ext>
            </c:extLst>
          </c:dPt>
          <c:cat>
            <c:strRef>
              <c:f>'지출 분석'!$B$6:$B$9</c:f>
              <c:strCache>
                <c:ptCount val="4"/>
                <c:pt idx="0">
                  <c:v>직원 비용</c:v>
                </c:pt>
                <c:pt idx="1">
                  <c:v>사무 비용</c:v>
                </c:pt>
                <c:pt idx="2">
                  <c:v>마케팅 비용</c:v>
                </c:pt>
                <c:pt idx="3">
                  <c:v>교육/출장</c:v>
                </c:pt>
              </c:strCache>
            </c:strRef>
          </c:cat>
          <c:val>
            <c:numRef>
              <c:f>'지출 분석'!$D$6:$D$9</c:f>
              <c:numCache>
                <c:formatCode>"₩"#,##0.00_);[Red]\("₩"#,##0.00\)</c:formatCode>
                <c:ptCount val="4"/>
                <c:pt idx="0">
                  <c:v>659130</c:v>
                </c:pt>
                <c:pt idx="1">
                  <c:v>69350</c:v>
                </c:pt>
                <c:pt idx="2">
                  <c:v>33159</c:v>
                </c:pt>
                <c:pt idx="3">
                  <c:v>21300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F485-485F-B818-D5944CB69AA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716845712"/>
        <c:axId val="716855552"/>
      </c:barChart>
      <c:valAx>
        <c:axId val="716855552"/>
        <c:scaling>
          <c:orientation val="minMax"/>
          <c:max val="1400000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&quot;₩&quot;#,##0_);[Red]\(&quot;₩&quot;#,##0\)" sourceLinked="0"/>
        <c:majorTickMark val="out"/>
        <c:minorTickMark val="none"/>
        <c:tickLblPos val="high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algun Gothic" panose="020B0503020000020004" pitchFamily="50" charset="-127"/>
                <a:ea typeface="Malgun Gothic" panose="020B0503020000020004" pitchFamily="50" charset="-127"/>
                <a:cs typeface="+mn-cs"/>
              </a:defRPr>
            </a:pPr>
            <a:endParaRPr lang="ko-KR"/>
          </a:p>
        </c:txPr>
        <c:crossAx val="716845712"/>
        <c:crosses val="autoZero"/>
        <c:crossBetween val="between"/>
        <c:dispUnits>
          <c:builtInUnit val="tenThousands"/>
          <c:dispUnitsLbl>
            <c:layout>
              <c:manualLayout>
                <c:xMode val="edge"/>
                <c:yMode val="edge"/>
                <c:x val="0.88923701186841542"/>
                <c:y val="0.94119752263847256"/>
              </c:manualLayout>
            </c:layout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Malgun Gothic" panose="020B0503020000020004" pitchFamily="50" charset="-127"/>
                    <a:ea typeface="Malgun Gothic" panose="020B0503020000020004" pitchFamily="50" charset="-127"/>
                    <a:cs typeface="+mn-cs"/>
                  </a:defRPr>
                </a:pPr>
                <a:endParaRPr lang="ko-KR"/>
              </a:p>
            </c:txPr>
          </c:dispUnitsLbl>
        </c:dispUnits>
      </c:valAx>
      <c:catAx>
        <c:axId val="716845712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algun Gothic" panose="020B0503020000020004" pitchFamily="50" charset="-127"/>
                <a:ea typeface="Malgun Gothic" panose="020B0503020000020004" pitchFamily="50" charset="-127"/>
                <a:cs typeface="+mn-cs"/>
              </a:defRPr>
            </a:pPr>
            <a:endParaRPr lang="ko-KR"/>
          </a:p>
        </c:txPr>
        <c:crossAx val="716855552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1.0972101080870553E-3"/>
          <c:y val="1.0416663818716148E-2"/>
          <c:w val="0.29634907228550156"/>
          <c:h val="5.584425419831195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Malgun Gothic" panose="020B0503020000020004" pitchFamily="50" charset="-127"/>
              <a:ea typeface="Malgun Gothic" panose="020B0503020000020004" pitchFamily="50" charset="-127"/>
              <a:cs typeface="+mn-cs"/>
            </a:defRPr>
          </a:pPr>
          <a:endParaRPr lang="ko-KR"/>
        </a:p>
      </c:txPr>
    </c:legend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>
          <a:latin typeface="Malgun Gothic" panose="020B0503020000020004" pitchFamily="50" charset="-127"/>
          <a:ea typeface="Malgun Gothic" panose="020B0503020000020004" pitchFamily="50" charset="-127"/>
        </a:defRPr>
      </a:pPr>
      <a:endParaRPr lang="ko-K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withinLinear" id="16">
  <a:schemeClr val="accent3"/>
</cs:colorStyle>
</file>

<file path=xl/charts/colors2.xml><?xml version="1.0" encoding="utf-8"?>
<cs:colorStyle xmlns:cs="http://schemas.microsoft.com/office/drawing/2012/chartStyle" xmlns:a="http://schemas.openxmlformats.org/drawingml/2006/main" meth="cycle" id="11">
  <a:schemeClr val="accent1"/>
  <a:schemeClr val="accent3"/>
  <a:schemeClr val="accent5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.xml"/><Relationship Id="rId2" Type="http://schemas.openxmlformats.org/officeDocument/2006/relationships/image" Target="../media/image3.pn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27504</xdr:colOff>
      <xdr:row>3</xdr:row>
      <xdr:rowOff>0</xdr:rowOff>
    </xdr:from>
    <xdr:to>
      <xdr:col>20</xdr:col>
      <xdr:colOff>962</xdr:colOff>
      <xdr:row>12</xdr:row>
      <xdr:rowOff>192640</xdr:rowOff>
    </xdr:to>
    <xdr:sp macro="" textlink="">
      <xdr:nvSpPr>
        <xdr:cNvPr id="3" name="말풍선: 사각형 2" descr="Tip: HOW TO USE THIS TEMPLATE&#10;Input data in the white cells on the PLANNED EXPENSES and ACTUAL EXPENSES worksheets, and the EXPENSE VARIANCES and EXPENSE ANALYSIS will be calculated for you.  If you add a row on one sheet, the other sheets need to match&#10;">
          <a:extLst>
            <a:ext uri="{FF2B5EF4-FFF2-40B4-BE49-F238E27FC236}">
              <a16:creationId xmlns:a16="http://schemas.microsoft.com/office/drawing/2014/main" id="{26EBCE28-31AF-4664-B39F-77F2857D060F}"/>
            </a:ext>
          </a:extLst>
        </xdr:cNvPr>
        <xdr:cNvSpPr/>
      </xdr:nvSpPr>
      <xdr:spPr>
        <a:xfrm>
          <a:off x="15629454" y="1257300"/>
          <a:ext cx="1935608" cy="3288265"/>
        </a:xfrm>
        <a:prstGeom prst="wedgeRectCallout">
          <a:avLst>
            <a:gd name="adj1" fmla="val -65157"/>
            <a:gd name="adj2" fmla="val -20833"/>
          </a:avLst>
        </a:prstGeom>
        <a:solidFill>
          <a:schemeClr val="accent3">
            <a:lumMod val="20000"/>
            <a:lumOff val="80000"/>
            <a:alpha val="66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182880" tIns="182880" rIns="182880" bIns="182880" rtlCol="0" anchor="t"/>
        <a:lstStyle/>
        <a:p>
          <a:pPr rtl="0"/>
          <a:r>
            <a:rPr lang="ko" sz="1100" b="1">
              <a:solidFill>
                <a:schemeClr val="tx2"/>
              </a:solidFill>
              <a:effectLst/>
              <a:latin typeface="Malgun Gothic" panose="020B0503020000020004" pitchFamily="50" charset="-127"/>
              <a:ea typeface="Malgun Gothic" panose="020B0503020000020004" pitchFamily="50" charset="-127"/>
              <a:cs typeface="Malgun Gothic Semilight" panose="020B0502040204020203" pitchFamily="34" charset="-127"/>
            </a:rPr>
            <a:t>이 서식 파일을 사용하는 방법</a:t>
          </a:r>
        </a:p>
        <a:p>
          <a:pPr rtl="0"/>
          <a:endParaRPr lang="en-US">
            <a:solidFill>
              <a:schemeClr val="tx2"/>
            </a:solidFill>
            <a:effectLst/>
            <a:latin typeface="Malgun Gothic" panose="020B0503020000020004" pitchFamily="50" charset="-127"/>
            <a:ea typeface="Malgun Gothic" panose="020B0503020000020004" pitchFamily="50" charset="-127"/>
            <a:cs typeface="Malgun Gothic Semilight" panose="020B0502040204020203" pitchFamily="34" charset="-127"/>
          </a:endParaRPr>
        </a:p>
        <a:p>
          <a:pPr rtl="0"/>
          <a:r>
            <a:rPr lang="ko" sz="1100">
              <a:solidFill>
                <a:schemeClr val="tx2"/>
              </a:solidFill>
              <a:effectLst/>
              <a:latin typeface="Malgun Gothic" panose="020B0503020000020004" pitchFamily="50" charset="-127"/>
              <a:ea typeface="Malgun Gothic" panose="020B0503020000020004" pitchFamily="50" charset="-127"/>
              <a:cs typeface="Malgun Gothic Semilight" panose="020B0502040204020203" pitchFamily="34" charset="-127"/>
            </a:rPr>
            <a:t>[계획한 지출]과 [실제 지출] 워크시트의 흰색 셀에 입력 데이터를 입력하면 [지출 차이]와 [지출 분석]이 자동으로 계산됩니다.  한 시트에 행을 추가하는 경우 </a:t>
          </a:r>
          <a:r>
            <a:rPr lang="ko" sz="1100" baseline="0">
              <a:solidFill>
                <a:schemeClr val="tx2"/>
              </a:solidFill>
              <a:effectLst/>
              <a:latin typeface="Malgun Gothic" panose="020B0503020000020004" pitchFamily="50" charset="-127"/>
              <a:ea typeface="Malgun Gothic" panose="020B0503020000020004" pitchFamily="50" charset="-127"/>
              <a:cs typeface="Malgun Gothic Semilight" panose="020B0502040204020203" pitchFamily="34" charset="-127"/>
            </a:rPr>
            <a:t>다른 시트도 일치해야 합니다.</a:t>
          </a:r>
          <a:endParaRPr lang="en-US" sz="1100">
            <a:solidFill>
              <a:schemeClr val="tx2"/>
            </a:solidFill>
            <a:latin typeface="Malgun Gothic" panose="020B0503020000020004" pitchFamily="50" charset="-127"/>
            <a:ea typeface="Malgun Gothic" panose="020B0503020000020004" pitchFamily="50" charset="-127"/>
            <a:cs typeface="Malgun Gothic Semilight" panose="020B0502040204020203" pitchFamily="34" charset="-127"/>
          </a:endParaRPr>
        </a:p>
      </xdr:txBody>
    </xdr:sp>
    <xdr:clientData fPrintsWithSheet="0"/>
  </xdr:twoCellAnchor>
  <xdr:twoCellAnchor editAs="oneCell">
    <xdr:from>
      <xdr:col>13</xdr:col>
      <xdr:colOff>353281</xdr:colOff>
      <xdr:row>1</xdr:row>
      <xdr:rowOff>2117</xdr:rowOff>
    </xdr:from>
    <xdr:to>
      <xdr:col>14</xdr:col>
      <xdr:colOff>927322</xdr:colOff>
      <xdr:row>2</xdr:row>
      <xdr:rowOff>139243</xdr:rowOff>
    </xdr:to>
    <xdr:pic>
      <xdr:nvPicPr>
        <xdr:cNvPr id="9" name="그림 18" descr="로고 개체 틀">
          <a:extLst>
            <a:ext uri="{FF2B5EF4-FFF2-40B4-BE49-F238E27FC236}">
              <a16:creationId xmlns:a16="http://schemas.microsoft.com/office/drawing/2014/main" id="{65A40888-9F83-43E7-A699-52663041FF0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14526481" y="306917"/>
          <a:ext cx="1631316" cy="7086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353281</xdr:colOff>
      <xdr:row>1</xdr:row>
      <xdr:rowOff>2117</xdr:rowOff>
    </xdr:from>
    <xdr:to>
      <xdr:col>14</xdr:col>
      <xdr:colOff>927322</xdr:colOff>
      <xdr:row>2</xdr:row>
      <xdr:rowOff>139243</xdr:rowOff>
    </xdr:to>
    <xdr:pic>
      <xdr:nvPicPr>
        <xdr:cNvPr id="6" name="그림 18" descr="로고 개체 틀">
          <a:extLst>
            <a:ext uri="{FF2B5EF4-FFF2-40B4-BE49-F238E27FC236}">
              <a16:creationId xmlns:a16="http://schemas.microsoft.com/office/drawing/2014/main" id="{83DAF7B9-4C56-44AA-B3C3-38F1A49B551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14526481" y="306917"/>
          <a:ext cx="1631316" cy="7086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336736</xdr:colOff>
      <xdr:row>1</xdr:row>
      <xdr:rowOff>0</xdr:rowOff>
    </xdr:from>
    <xdr:to>
      <xdr:col>14</xdr:col>
      <xdr:colOff>893211</xdr:colOff>
      <xdr:row>2</xdr:row>
      <xdr:rowOff>129496</xdr:rowOff>
    </xdr:to>
    <xdr:pic>
      <xdr:nvPicPr>
        <xdr:cNvPr id="6" name="그림 18" descr="로고 개체 틀">
          <a:extLst>
            <a:ext uri="{FF2B5EF4-FFF2-40B4-BE49-F238E27FC236}">
              <a16:creationId xmlns:a16="http://schemas.microsoft.com/office/drawing/2014/main" id="{A2E6D019-45AC-4D89-848F-C976B436C09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14509936" y="304800"/>
          <a:ext cx="1613750" cy="70099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28575</xdr:colOff>
      <xdr:row>12</xdr:row>
      <xdr:rowOff>200025</xdr:rowOff>
    </xdr:from>
    <xdr:to>
      <xdr:col>6</xdr:col>
      <xdr:colOff>5939</xdr:colOff>
      <xdr:row>36</xdr:row>
      <xdr:rowOff>59753</xdr:rowOff>
    </xdr:to>
    <xdr:graphicFrame macro="">
      <xdr:nvGraphicFramePr>
        <xdr:cNvPr id="8" name="월별지출차트" descr="월별 지출의 계획, 실제 및 차이를 보여 주는 차트">
          <a:extLst>
            <a:ext uri="{FF2B5EF4-FFF2-40B4-BE49-F238E27FC236}">
              <a16:creationId xmlns:a16="http://schemas.microsoft.com/office/drawing/2014/main" id="{00000000-0008-0000-0300-000008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5</xdr:col>
      <xdr:colOff>447675</xdr:colOff>
      <xdr:row>1</xdr:row>
      <xdr:rowOff>1635</xdr:rowOff>
    </xdr:from>
    <xdr:to>
      <xdr:col>6</xdr:col>
      <xdr:colOff>69215</xdr:colOff>
      <xdr:row>1</xdr:row>
      <xdr:rowOff>548896</xdr:rowOff>
    </xdr:to>
    <xdr:pic>
      <xdr:nvPicPr>
        <xdr:cNvPr id="9" name="그림 18" descr="로고 개체 틀">
          <a:extLst>
            <a:ext uri="{FF2B5EF4-FFF2-40B4-BE49-F238E27FC236}">
              <a16:creationId xmlns:a16="http://schemas.microsoft.com/office/drawing/2014/main" id="{7C6D1F32-6273-47BA-873D-2E5A8467E2E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7219950" y="306435"/>
          <a:ext cx="1259840" cy="547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-1</xdr:colOff>
      <xdr:row>11</xdr:row>
      <xdr:rowOff>0</xdr:rowOff>
    </xdr:from>
    <xdr:to>
      <xdr:col>5</xdr:col>
      <xdr:colOff>1488140</xdr:colOff>
      <xdr:row>11</xdr:row>
      <xdr:rowOff>3657601</xdr:rowOff>
    </xdr:to>
    <xdr:graphicFrame macro="">
      <xdr:nvGraphicFramePr>
        <xdr:cNvPr id="7" name="실제지출차트" descr="다양한 범주에서 발생한 실제 지출을 보여 주는 원형 차트">
          <a:extLst>
            <a:ext uri="{FF2B5EF4-FFF2-40B4-BE49-F238E27FC236}">
              <a16:creationId xmlns:a16="http://schemas.microsoft.com/office/drawing/2014/main" id="{FE109E8A-EB22-46B1-850C-BFD738E259E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사무실계획" displayName="사무실계획" ref="B10:O19" totalsRowCount="1" headerRowDxfId="522" dataDxfId="520" totalsRowDxfId="518" headerRowBorderDxfId="521" tableBorderDxfId="519" totalsRowBorderDxfId="517">
  <autoFilter ref="B10:O18" xr:uid="{00000000-0009-0000-0100-000001000000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  <filterColumn colId="13" hiddenButton="1"/>
  </autoFilter>
  <tableColumns count="14">
    <tableColumn id="1" xr3:uid="{00000000-0010-0000-0000-000001000000}" name="사무 비용" totalsRowLabel="소계" dataDxfId="516" totalsRowDxfId="515"/>
    <tableColumn id="2" xr3:uid="{00000000-0010-0000-0000-000002000000}" name="1월" totalsRowFunction="sum" dataDxfId="514" totalsRowDxfId="513"/>
    <tableColumn id="3" xr3:uid="{00000000-0010-0000-0000-000003000000}" name="2월" totalsRowFunction="sum" dataDxfId="512" totalsRowDxfId="511"/>
    <tableColumn id="4" xr3:uid="{00000000-0010-0000-0000-000004000000}" name="3월" totalsRowFunction="sum" dataDxfId="510" totalsRowDxfId="509"/>
    <tableColumn id="5" xr3:uid="{00000000-0010-0000-0000-000005000000}" name="4월" totalsRowFunction="sum" dataDxfId="508" totalsRowDxfId="507"/>
    <tableColumn id="6" xr3:uid="{00000000-0010-0000-0000-000006000000}" name="5월" totalsRowFunction="sum" dataDxfId="506" totalsRowDxfId="505"/>
    <tableColumn id="7" xr3:uid="{00000000-0010-0000-0000-000007000000}" name="6월" totalsRowFunction="sum" dataDxfId="504" totalsRowDxfId="503"/>
    <tableColumn id="8" xr3:uid="{00000000-0010-0000-0000-000008000000}" name="7월" totalsRowFunction="sum" dataDxfId="502" totalsRowDxfId="501"/>
    <tableColumn id="9" xr3:uid="{00000000-0010-0000-0000-000009000000}" name="8월" totalsRowFunction="sum" dataDxfId="500" totalsRowDxfId="499"/>
    <tableColumn id="10" xr3:uid="{00000000-0010-0000-0000-00000A000000}" name="9월" totalsRowFunction="sum" dataDxfId="498" totalsRowDxfId="497"/>
    <tableColumn id="11" xr3:uid="{00000000-0010-0000-0000-00000B000000}" name="10월" totalsRowFunction="sum" dataDxfId="496" totalsRowDxfId="495"/>
    <tableColumn id="12" xr3:uid="{00000000-0010-0000-0000-00000C000000}" name="11월" totalsRowFunction="sum" dataDxfId="494" totalsRowDxfId="493"/>
    <tableColumn id="13" xr3:uid="{00000000-0010-0000-0000-00000D000000}" name="12월" totalsRowFunction="sum" dataDxfId="492" totalsRowDxfId="491"/>
    <tableColumn id="14" xr3:uid="{00000000-0010-0000-0000-00000E000000}" name="연도" totalsRowFunction="sum" dataDxfId="490" totalsRowDxfId="489">
      <calculatedColumnFormula>SUM(C11:N11)</calculatedColumnFormula>
    </tableColumn>
  </tableColumns>
  <tableStyleInfo name="TableStyleLight8" showFirstColumn="1" showLastColumn="1" showRowStripes="0" showColumnStripes="0"/>
  <extLst>
    <ext xmlns:x14="http://schemas.microsoft.com/office/spreadsheetml/2009/9/main" uri="{504A1905-F514-4f6f-8877-14C23A59335A}">
      <x14:table altTextSummary="이 표에 계획된 월별 사무실 비용을 입력합니다. 합계는 마지막에 자동으로 계산됩니다"/>
    </ext>
  </extLst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5" xr:uid="{8B099C32-C8DE-492A-BEED-550CF2841A11}" name="실제합계" displayName="TotalActual" ref="B35:O37" headerRowDxfId="216" dataDxfId="215" totalsRowDxfId="213" tableBorderDxfId="214">
  <autoFilter ref="B35:O37" xr:uid="{527B5B30-B216-4604-BE5A-D760DE033F98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  <filterColumn colId="13" hiddenButton="1"/>
  </autoFilter>
  <tableColumns count="14">
    <tableColumn id="1" xr3:uid="{359818E9-FD74-4273-8957-D80FFA77ADE8}" name="총 계획된 지출" totalsRowLabel="요약" dataDxfId="212" totalsRowDxfId="211"/>
    <tableColumn id="2" xr3:uid="{ED08B701-BD0B-43EA-B6B5-8B23D583D505}" name="1월" dataDxfId="210" totalsRowDxfId="209">
      <calculatedColumnFormula>SUM($C35:C$36)</calculatedColumnFormula>
    </tableColumn>
    <tableColumn id="3" xr3:uid="{953C450B-5235-4234-924F-53796609C439}" name="2월" dataDxfId="208" totalsRowDxfId="207">
      <calculatedColumnFormula>SUM($C35:D$36)</calculatedColumnFormula>
    </tableColumn>
    <tableColumn id="4" xr3:uid="{A434CE91-3696-411F-8418-02228D13F12E}" name="3월" dataDxfId="206" totalsRowDxfId="205">
      <calculatedColumnFormula>SUM($C35:E$36)</calculatedColumnFormula>
    </tableColumn>
    <tableColumn id="5" xr3:uid="{1E74C645-B91F-4CDB-9F55-6FEC8EAB0A64}" name="4월" dataDxfId="204" totalsRowDxfId="203">
      <calculatedColumnFormula>SUM($C35:F$36)</calculatedColumnFormula>
    </tableColumn>
    <tableColumn id="6" xr3:uid="{A3B698F1-9EF3-489A-A70E-8E760D6B713B}" name="5월" dataDxfId="202" totalsRowDxfId="201">
      <calculatedColumnFormula>SUM($C35:G$36)</calculatedColumnFormula>
    </tableColumn>
    <tableColumn id="7" xr3:uid="{6CEDC80B-5635-47E7-AA54-EBD827095F7C}" name="6월" dataDxfId="200" totalsRowDxfId="199">
      <calculatedColumnFormula>SUM($C35:H$36)</calculatedColumnFormula>
    </tableColumn>
    <tableColumn id="8" xr3:uid="{A73C88FE-0ABF-4134-B6B0-043ECC9295D4}" name="7월" dataDxfId="198" totalsRowDxfId="197">
      <calculatedColumnFormula>SUM($C35:I$36)</calculatedColumnFormula>
    </tableColumn>
    <tableColumn id="9" xr3:uid="{62119987-B16F-44A1-B80E-29460A9513CD}" name="8월" dataDxfId="196" totalsRowDxfId="195">
      <calculatedColumnFormula>SUM($C35:J$36)</calculatedColumnFormula>
    </tableColumn>
    <tableColumn id="10" xr3:uid="{C84A40CE-DC4A-442E-883F-891CA5A9A166}" name="9월" dataDxfId="194" totalsRowDxfId="193">
      <calculatedColumnFormula>SUM($C35:K$36)</calculatedColumnFormula>
    </tableColumn>
    <tableColumn id="11" xr3:uid="{4DB975F1-C294-416D-81FB-A8070CC2C3BC}" name="10월" dataDxfId="192" totalsRowDxfId="191">
      <calculatedColumnFormula>SUM($C35:L$36)</calculatedColumnFormula>
    </tableColumn>
    <tableColumn id="12" xr3:uid="{BC57DA11-9B5C-452D-8026-EF863D07E32E}" name="11월" dataDxfId="190" totalsRowDxfId="189">
      <calculatedColumnFormula>SUM($C35:M$36)</calculatedColumnFormula>
    </tableColumn>
    <tableColumn id="13" xr3:uid="{904E02FB-FEA8-49B0-ABA0-9B659A7720D8}" name="12월" dataDxfId="188" totalsRowDxfId="187">
      <calculatedColumnFormula>SUM($C35:N$36)</calculatedColumnFormula>
    </tableColumn>
    <tableColumn id="14" xr3:uid="{8C10E0BB-4735-4718-9538-C4AFB616D92A}" name="연도" totalsRowFunction="sum" dataDxfId="186" totalsRowDxfId="185"/>
  </tableColumns>
  <tableStyleInfo name="TableStyleMedium1" showFirstColumn="1" showLastColumn="0" showRowStripes="0" showColumnStripes="0"/>
  <extLst>
    <ext xmlns:x14="http://schemas.microsoft.com/office/spreadsheetml/2009/9/main" uri="{504A1905-F514-4f6f-8877-14C23A59335A}">
      <x14:table altTextSummary="월별 및 총 실제 지출이 이 표에서 자동으로 계산됩니다."/>
    </ext>
  </extLst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00000000-000C-0000-FFFF-FFFF08000000}" name="EmployeeVariances" displayName="EmployeeVariances" ref="B5:O8" totalsRowCount="1" headerRowDxfId="179" dataDxfId="177" totalsRowDxfId="175" headerRowBorderDxfId="178" tableBorderDxfId="176" totalsRowBorderDxfId="174">
  <autoFilter ref="B5:O7" xr:uid="{00000000-0009-0000-0100-000009000000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  <filterColumn colId="13" hiddenButton="1"/>
  </autoFilter>
  <tableColumns count="14">
    <tableColumn id="1" xr3:uid="{00000000-0010-0000-0800-000001000000}" name="직원 비용" totalsRowLabel="소계" dataDxfId="173" totalsRowDxfId="172"/>
    <tableColumn id="2" xr3:uid="{00000000-0010-0000-0800-000002000000}" name="1월" totalsRowFunction="sum" dataDxfId="171" totalsRowDxfId="170">
      <calculatedColumnFormula>INDEX(직원계획[],MATCH(INDEX(EmployeeVariances[],ROW()-ROW(EmployeeVariances[[#Headers],[1월]]),1),INDEX(직원계획[],,1),0),MATCH(EmployeeVariances[[#Headers],[1월]],직원계획[#Headers],0))-INDEX(직원실비[],MATCH(INDEX(EmployeeVariances[],ROW()-ROW(EmployeeVariances[[#Headers],[1월]]),1),INDEX(직원계획[],,1),0),MATCH(EmployeeVariances[[#Headers],[1월]],직원실비[#Headers],0))</calculatedColumnFormula>
    </tableColumn>
    <tableColumn id="3" xr3:uid="{00000000-0010-0000-0800-000003000000}" name="2월" totalsRowFunction="sum" dataDxfId="169" totalsRowDxfId="168">
      <calculatedColumnFormula>INDEX(직원계획[],MATCH(INDEX(EmployeeVariances[],ROW()-ROW(EmployeeVariances[[#Headers],[2월]]),1),INDEX(직원계획[],,1),0),MATCH(EmployeeVariances[[#Headers],[2월]],직원계획[#Headers],0))-INDEX(직원실비[],MATCH(INDEX(EmployeeVariances[],ROW()-ROW(EmployeeVariances[[#Headers],[2월]]),1),INDEX(직원계획[],,1),0),MATCH(EmployeeVariances[[#Headers],[2월]],직원실비[#Headers],0))</calculatedColumnFormula>
    </tableColumn>
    <tableColumn id="4" xr3:uid="{00000000-0010-0000-0800-000004000000}" name="3월" totalsRowFunction="sum" dataDxfId="167" totalsRowDxfId="166">
      <calculatedColumnFormula>INDEX(직원계획[],MATCH(INDEX(EmployeeVariances[],ROW()-ROW(EmployeeVariances[[#Headers],[3월]]),1),INDEX(직원계획[],,1),0),MATCH(EmployeeVariances[[#Headers],[3월]],직원계획[#Headers],0))-INDEX(직원실비[],MATCH(INDEX(EmployeeVariances[],ROW()-ROW(EmployeeVariances[[#Headers],[3월]]),1),INDEX(직원계획[],,1),0),MATCH(EmployeeVariances[[#Headers],[3월]],직원실비[#Headers],0))</calculatedColumnFormula>
    </tableColumn>
    <tableColumn id="5" xr3:uid="{00000000-0010-0000-0800-000005000000}" name="4월" totalsRowFunction="sum" dataDxfId="165" totalsRowDxfId="164">
      <calculatedColumnFormula>INDEX(직원계획[],MATCH(INDEX(EmployeeVariances[],ROW()-ROW(EmployeeVariances[[#Headers],[4월]]),1),INDEX(직원계획[],,1),0),MATCH(EmployeeVariances[[#Headers],[4월]],직원계획[#Headers],0))-INDEX(직원실비[],MATCH(INDEX(EmployeeVariances[],ROW()-ROW(EmployeeVariances[[#Headers],[4월]]),1),INDEX(직원계획[],,1),0),MATCH(EmployeeVariances[[#Headers],[4월]],직원실비[#Headers],0))</calculatedColumnFormula>
    </tableColumn>
    <tableColumn id="6" xr3:uid="{00000000-0010-0000-0800-000006000000}" name="5월" totalsRowFunction="sum" dataDxfId="163" totalsRowDxfId="162">
      <calculatedColumnFormula>INDEX(직원계획[],MATCH(INDEX(EmployeeVariances[],ROW()-ROW(EmployeeVariances[[#Headers],[5월]]),1),INDEX(직원계획[],,1),0),MATCH(EmployeeVariances[[#Headers],[5월]],직원계획[#Headers],0))-INDEX(직원실비[],MATCH(INDEX(EmployeeVariances[],ROW()-ROW(EmployeeVariances[[#Headers],[5월]]),1),INDEX(직원계획[],,1),0),MATCH(EmployeeVariances[[#Headers],[5월]],직원실비[#Headers],0))</calculatedColumnFormula>
    </tableColumn>
    <tableColumn id="7" xr3:uid="{00000000-0010-0000-0800-000007000000}" name="6월" totalsRowFunction="sum" dataDxfId="161" totalsRowDxfId="160">
      <calculatedColumnFormula>INDEX(직원계획[],MATCH(INDEX(EmployeeVariances[],ROW()-ROW(EmployeeVariances[[#Headers],[6월]]),1),INDEX(직원계획[],,1),0),MATCH(EmployeeVariances[[#Headers],[6월]],직원계획[#Headers],0))-INDEX(직원실비[],MATCH(INDEX(EmployeeVariances[],ROW()-ROW(EmployeeVariances[[#Headers],[6월]]),1),INDEX(직원계획[],,1),0),MATCH(EmployeeVariances[[#Headers],[6월]],직원실비[#Headers],0))</calculatedColumnFormula>
    </tableColumn>
    <tableColumn id="8" xr3:uid="{00000000-0010-0000-0800-000008000000}" name="7월" totalsRowFunction="sum" dataDxfId="159" totalsRowDxfId="158">
      <calculatedColumnFormula>INDEX(직원계획[],MATCH(INDEX(EmployeeVariances[],ROW()-ROW(EmployeeVariances[[#Headers],[7월]]),1),INDEX(직원계획[],,1),0),MATCH(EmployeeVariances[[#Headers],[7월]],직원계획[#Headers],0))-INDEX(직원실비[],MATCH(INDEX(EmployeeVariances[],ROW()-ROW(EmployeeVariances[[#Headers],[7월]]),1),INDEX(직원계획[],,1),0),MATCH(EmployeeVariances[[#Headers],[7월]],직원실비[#Headers],0))</calculatedColumnFormula>
    </tableColumn>
    <tableColumn id="9" xr3:uid="{00000000-0010-0000-0800-000009000000}" name="8월" totalsRowFunction="sum" dataDxfId="157" totalsRowDxfId="156">
      <calculatedColumnFormula>INDEX(직원계획[],MATCH(INDEX(EmployeeVariances[],ROW()-ROW(EmployeeVariances[[#Headers],[8월]]),1),INDEX(직원계획[],,1),0),MATCH(EmployeeVariances[[#Headers],[8월]],직원계획[#Headers],0))-INDEX(직원실비[],MATCH(INDEX(EmployeeVariances[],ROW()-ROW(EmployeeVariances[[#Headers],[8월]]),1),INDEX(직원계획[],,1),0),MATCH(EmployeeVariances[[#Headers],[8월]],직원실비[#Headers],0))</calculatedColumnFormula>
    </tableColumn>
    <tableColumn id="10" xr3:uid="{00000000-0010-0000-0800-00000A000000}" name="9월" totalsRowFunction="sum" dataDxfId="155" totalsRowDxfId="154">
      <calculatedColumnFormula>INDEX(직원계획[],MATCH(INDEX(EmployeeVariances[],ROW()-ROW(EmployeeVariances[[#Headers],[9월]]),1),INDEX(직원계획[],,1),0),MATCH(EmployeeVariances[[#Headers],[9월]],직원계획[#Headers],0))-INDEX(직원실비[],MATCH(INDEX(EmployeeVariances[],ROW()-ROW(EmployeeVariances[[#Headers],[9월]]),1),INDEX(직원계획[],,1),0),MATCH(EmployeeVariances[[#Headers],[9월]],직원실비[#Headers],0))</calculatedColumnFormula>
    </tableColumn>
    <tableColumn id="11" xr3:uid="{00000000-0010-0000-0800-00000B000000}" name="10월" totalsRowFunction="sum" dataDxfId="153" totalsRowDxfId="152">
      <calculatedColumnFormula>INDEX(직원계획[],MATCH(INDEX(EmployeeVariances[],ROW()-ROW(EmployeeVariances[[#Headers],[10월]]),1),INDEX(직원계획[],,1),0),MATCH(EmployeeVariances[[#Headers],[10월]],직원계획[#Headers],0))-INDEX(직원실비[],MATCH(INDEX(EmployeeVariances[],ROW()-ROW(EmployeeVariances[[#Headers],[10월]]),1),INDEX(직원계획[],,1),0),MATCH(EmployeeVariances[[#Headers],[10월]],직원실비[#Headers],0))</calculatedColumnFormula>
    </tableColumn>
    <tableColumn id="12" xr3:uid="{00000000-0010-0000-0800-00000C000000}" name="11월" totalsRowFunction="sum" dataDxfId="151" totalsRowDxfId="150">
      <calculatedColumnFormula>INDEX(직원계획[],MATCH(INDEX(EmployeeVariances[],ROW()-ROW(EmployeeVariances[[#Headers],[11월]]),1),INDEX(직원계획[],,1),0),MATCH(EmployeeVariances[[#Headers],[11월]],직원계획[#Headers],0))-INDEX(직원실비[],MATCH(INDEX(EmployeeVariances[],ROW()-ROW(EmployeeVariances[[#Headers],[11월]]),1),INDEX(직원계획[],,1),0),MATCH(EmployeeVariances[[#Headers],[11월]],직원실비[#Headers],0))</calculatedColumnFormula>
    </tableColumn>
    <tableColumn id="13" xr3:uid="{00000000-0010-0000-0800-00000D000000}" name="12월" totalsRowFunction="sum" dataDxfId="149" totalsRowDxfId="148">
      <calculatedColumnFormula>INDEX(직원계획[],MATCH(INDEX(EmployeeVariances[],ROW()-ROW(EmployeeVariances[[#Headers],[12월]]),1),INDEX(직원계획[],,1),0),MATCH(EmployeeVariances[[#Headers],[12월]],직원계획[#Headers],0))-INDEX(직원실비[],MATCH(INDEX(EmployeeVariances[],ROW()-ROW(EmployeeVariances[[#Headers],[12월]]),1),INDEX(직원계획[],,1),0),MATCH(EmployeeVariances[[#Headers],[12월]],직원실비[#Headers],0))</calculatedColumnFormula>
    </tableColumn>
    <tableColumn id="14" xr3:uid="{00000000-0010-0000-0800-00000E000000}" name="연도" totalsRowFunction="sum" dataDxfId="147" totalsRowDxfId="146">
      <calculatedColumnFormula>SUM(EmployeeVariances[[#This Row],[1월]:[12월]])</calculatedColumnFormula>
    </tableColumn>
  </tableColumns>
  <tableStyleInfo name="TableStyleLight8" showFirstColumn="1" showLastColumn="0" showRowStripes="0" showColumnStripes="0"/>
  <extLst>
    <ext xmlns:x14="http://schemas.microsoft.com/office/spreadsheetml/2009/9/main" uri="{504A1905-F514-4f6f-8877-14C23A59335A}">
      <x14:table altTextSummary="개월당 직원 비용의 차이가 이 표에서 자동으로 계산됩니다."/>
    </ext>
  </extLst>
</table>
</file>

<file path=xl/tables/table1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00000000-000C-0000-FFFF-FFFF09000000}" name="OfficeVariances" displayName="OfficeVariances" ref="B10:O19" totalsRowCount="1" headerRowDxfId="145" dataDxfId="143" totalsRowDxfId="141" headerRowBorderDxfId="144" tableBorderDxfId="142" totalsRowBorderDxfId="140">
  <autoFilter ref="B10:O18" xr:uid="{00000000-0009-0000-0100-00000A000000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  <filterColumn colId="13" hiddenButton="1"/>
  </autoFilter>
  <tableColumns count="14">
    <tableColumn id="1" xr3:uid="{00000000-0010-0000-0900-000001000000}" name="사무 비용" totalsRowLabel="소계" dataDxfId="139" totalsRowDxfId="138"/>
    <tableColumn id="2" xr3:uid="{00000000-0010-0000-0900-000002000000}" name="1월" totalsRowFunction="sum" dataDxfId="137" totalsRowDxfId="136">
      <calculatedColumnFormula>INDEX(사무실계획[],MATCH(INDEX(OfficeVariances[],ROW()-ROW(OfficeVariances[[#Headers],[1월]]),1),INDEX(사무실계획[],,1),0),MATCH(OfficeVariances[[#Headers],[1월]],사무실계획[#Headers],0))-INDEX(사무실_실비[],MATCH(INDEX(OfficeVariances[],ROW()-ROW(OfficeVariances[[#Headers],[1월]]),1),INDEX(사무실계획[],,1),0),MATCH(OfficeVariances[[#Headers],[1월]],사무실_실비[#Headers],0))</calculatedColumnFormula>
    </tableColumn>
    <tableColumn id="3" xr3:uid="{00000000-0010-0000-0900-000003000000}" name="2월" totalsRowFunction="sum" dataDxfId="135" totalsRowDxfId="134">
      <calculatedColumnFormula>INDEX(사무실계획[],MATCH(INDEX(OfficeVariances[],ROW()-ROW(OfficeVariances[[#Headers],[2월]]),1),INDEX(사무실계획[],,1),0),MATCH(OfficeVariances[[#Headers],[2월]],사무실계획[#Headers],0))-INDEX(사무실_실비[],MATCH(INDEX(OfficeVariances[],ROW()-ROW(OfficeVariances[[#Headers],[2월]]),1),INDEX(사무실계획[],,1),0),MATCH(OfficeVariances[[#Headers],[2월]],사무실_실비[#Headers],0))</calculatedColumnFormula>
    </tableColumn>
    <tableColumn id="4" xr3:uid="{00000000-0010-0000-0900-000004000000}" name="3월" totalsRowFunction="sum" dataDxfId="133" totalsRowDxfId="132">
      <calculatedColumnFormula>INDEX(사무실계획[],MATCH(INDEX(OfficeVariances[],ROW()-ROW(OfficeVariances[[#Headers],[3월]]),1),INDEX(사무실계획[],,1),0),MATCH(OfficeVariances[[#Headers],[3월]],사무실계획[#Headers],0))-INDEX(사무실_실비[],MATCH(INDEX(OfficeVariances[],ROW()-ROW(OfficeVariances[[#Headers],[3월]]),1),INDEX(사무실계획[],,1),0),MATCH(OfficeVariances[[#Headers],[3월]],사무실_실비[#Headers],0))</calculatedColumnFormula>
    </tableColumn>
    <tableColumn id="5" xr3:uid="{00000000-0010-0000-0900-000005000000}" name="4월" totalsRowFunction="sum" dataDxfId="131" totalsRowDxfId="130">
      <calculatedColumnFormula>INDEX(사무실계획[],MATCH(INDEX(OfficeVariances[],ROW()-ROW(OfficeVariances[[#Headers],[4월]]),1),INDEX(사무실계획[],,1),0),MATCH(OfficeVariances[[#Headers],[4월]],사무실계획[#Headers],0))-INDEX(사무실_실비[],MATCH(INDEX(OfficeVariances[],ROW()-ROW(OfficeVariances[[#Headers],[4월]]),1),INDEX(사무실계획[],,1),0),MATCH(OfficeVariances[[#Headers],[4월]],사무실_실비[#Headers],0))</calculatedColumnFormula>
    </tableColumn>
    <tableColumn id="6" xr3:uid="{00000000-0010-0000-0900-000006000000}" name="5월" totalsRowFunction="sum" dataDxfId="129" totalsRowDxfId="128">
      <calculatedColumnFormula>INDEX(사무실계획[],MATCH(INDEX(OfficeVariances[],ROW()-ROW(OfficeVariances[[#Headers],[5월]]),1),INDEX(사무실계획[],,1),0),MATCH(OfficeVariances[[#Headers],[5월]],사무실계획[#Headers],0))-INDEX(사무실_실비[],MATCH(INDEX(OfficeVariances[],ROW()-ROW(OfficeVariances[[#Headers],[5월]]),1),INDEX(사무실계획[],,1),0),MATCH(OfficeVariances[[#Headers],[5월]],사무실_실비[#Headers],0))</calculatedColumnFormula>
    </tableColumn>
    <tableColumn id="7" xr3:uid="{00000000-0010-0000-0900-000007000000}" name="6월" totalsRowFunction="sum" dataDxfId="127" totalsRowDxfId="126">
      <calculatedColumnFormula>INDEX(사무실계획[],MATCH(INDEX(OfficeVariances[],ROW()-ROW(OfficeVariances[[#Headers],[6월]]),1),INDEX(사무실계획[],,1),0),MATCH(OfficeVariances[[#Headers],[6월]],사무실계획[#Headers],0))-INDEX(사무실_실비[],MATCH(INDEX(OfficeVariances[],ROW()-ROW(OfficeVariances[[#Headers],[6월]]),1),INDEX(사무실계획[],,1),0),MATCH(OfficeVariances[[#Headers],[6월]],사무실_실비[#Headers],0))</calculatedColumnFormula>
    </tableColumn>
    <tableColumn id="8" xr3:uid="{00000000-0010-0000-0900-000008000000}" name="7월" totalsRowFunction="sum" dataDxfId="125" totalsRowDxfId="124">
      <calculatedColumnFormula>INDEX(사무실계획[],MATCH(INDEX(OfficeVariances[],ROW()-ROW(OfficeVariances[[#Headers],[7월]]),1),INDEX(사무실계획[],,1),0),MATCH(OfficeVariances[[#Headers],[7월]],사무실계획[#Headers],0))-INDEX(사무실_실비[],MATCH(INDEX(OfficeVariances[],ROW()-ROW(OfficeVariances[[#Headers],[7월]]),1),INDEX(사무실계획[],,1),0),MATCH(OfficeVariances[[#Headers],[7월]],사무실_실비[#Headers],0))</calculatedColumnFormula>
    </tableColumn>
    <tableColumn id="9" xr3:uid="{00000000-0010-0000-0900-000009000000}" name="8월" totalsRowFunction="sum" dataDxfId="123" totalsRowDxfId="122">
      <calculatedColumnFormula>INDEX(사무실계획[],MATCH(INDEX(OfficeVariances[],ROW()-ROW(OfficeVariances[[#Headers],[8월]]),1),INDEX(사무실계획[],,1),0),MATCH(OfficeVariances[[#Headers],[8월]],사무실계획[#Headers],0))-INDEX(사무실_실비[],MATCH(INDEX(OfficeVariances[],ROW()-ROW(OfficeVariances[[#Headers],[8월]]),1),INDEX(사무실계획[],,1),0),MATCH(OfficeVariances[[#Headers],[8월]],사무실_실비[#Headers],0))</calculatedColumnFormula>
    </tableColumn>
    <tableColumn id="10" xr3:uid="{00000000-0010-0000-0900-00000A000000}" name="9월" totalsRowFunction="sum" dataDxfId="121" totalsRowDxfId="120">
      <calculatedColumnFormula>INDEX(사무실계획[],MATCH(INDEX(OfficeVariances[],ROW()-ROW(OfficeVariances[[#Headers],[9월]]),1),INDEX(사무실계획[],,1),0),MATCH(OfficeVariances[[#Headers],[9월]],사무실계획[#Headers],0))-INDEX(사무실_실비[],MATCH(INDEX(OfficeVariances[],ROW()-ROW(OfficeVariances[[#Headers],[9월]]),1),INDEX(사무실계획[],,1),0),MATCH(OfficeVariances[[#Headers],[9월]],사무실_실비[#Headers],0))</calculatedColumnFormula>
    </tableColumn>
    <tableColumn id="11" xr3:uid="{00000000-0010-0000-0900-00000B000000}" name="10월" totalsRowFunction="sum" dataDxfId="119" totalsRowDxfId="118">
      <calculatedColumnFormula>INDEX(사무실계획[],MATCH(INDEX(OfficeVariances[],ROW()-ROW(OfficeVariances[[#Headers],[10월]]),1),INDEX(사무실계획[],,1),0),MATCH(OfficeVariances[[#Headers],[10월]],사무실계획[#Headers],0))-INDEX(사무실_실비[],MATCH(INDEX(OfficeVariances[],ROW()-ROW(OfficeVariances[[#Headers],[10월]]),1),INDEX(사무실계획[],,1),0),MATCH(OfficeVariances[[#Headers],[10월]],사무실_실비[#Headers],0))</calculatedColumnFormula>
    </tableColumn>
    <tableColumn id="12" xr3:uid="{00000000-0010-0000-0900-00000C000000}" name="11월" totalsRowFunction="sum" dataDxfId="117" totalsRowDxfId="116">
      <calculatedColumnFormula>INDEX(사무실계획[],MATCH(INDEX(OfficeVariances[],ROW()-ROW(OfficeVariances[[#Headers],[11월]]),1),INDEX(사무실계획[],,1),0),MATCH(OfficeVariances[[#Headers],[11월]],사무실계획[#Headers],0))-INDEX(사무실_실비[],MATCH(INDEX(OfficeVariances[],ROW()-ROW(OfficeVariances[[#Headers],[11월]]),1),INDEX(사무실계획[],,1),0),MATCH(OfficeVariances[[#Headers],[11월]],사무실_실비[#Headers],0))</calculatedColumnFormula>
    </tableColumn>
    <tableColumn id="13" xr3:uid="{00000000-0010-0000-0900-00000D000000}" name="12월" totalsRowFunction="sum" dataDxfId="115" totalsRowDxfId="114">
      <calculatedColumnFormula>INDEX(사무실계획[],MATCH(INDEX(OfficeVariances[],ROW()-ROW(OfficeVariances[[#Headers],[12월]]),1),INDEX(사무실계획[],,1),0),MATCH(OfficeVariances[[#Headers],[12월]],사무실계획[#Headers],0))-INDEX(사무실_실비[],MATCH(INDEX(OfficeVariances[],ROW()-ROW(OfficeVariances[[#Headers],[12월]]),1),INDEX(사무실계획[],,1),0),MATCH(OfficeVariances[[#Headers],[12월]],사무실_실비[#Headers],0))</calculatedColumnFormula>
    </tableColumn>
    <tableColumn id="14" xr3:uid="{00000000-0010-0000-0900-00000E000000}" name="연도" totalsRowFunction="sum" dataDxfId="113" totalsRowDxfId="112">
      <calculatedColumnFormula>SUM(OfficeVariances[[#This Row],[1월]:[12월]])</calculatedColumnFormula>
    </tableColumn>
  </tableColumns>
  <tableStyleInfo name="TableStyleLight8" showFirstColumn="1" showLastColumn="1" showRowStripes="0" showColumnStripes="0"/>
  <extLst>
    <ext xmlns:x14="http://schemas.microsoft.com/office/spreadsheetml/2009/9/main" uri="{504A1905-F514-4f6f-8877-14C23A59335A}">
      <x14:table altTextSummary="개월당 사무 비용의 차이가 이 표에서 자동으로 계산됩니다."/>
    </ext>
  </extLst>
</table>
</file>

<file path=xl/tables/table1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" xr:uid="{00000000-000C-0000-FFFF-FFFF0A000000}" name="MarketingVariances" displayName="MarketingVariances" ref="B21:O28" totalsRowCount="1" headerRowDxfId="111" dataDxfId="109" totalsRowDxfId="107" headerRowBorderDxfId="110" tableBorderDxfId="108" totalsRowBorderDxfId="106">
  <autoFilter ref="B21:O27" xr:uid="{00000000-0009-0000-0100-00000B000000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  <filterColumn colId="13" hiddenButton="1"/>
  </autoFilter>
  <tableColumns count="14">
    <tableColumn id="1" xr3:uid="{00000000-0010-0000-0A00-000001000000}" name="마케팅 비용" totalsRowLabel="소계" dataDxfId="105" totalsRowDxfId="104"/>
    <tableColumn id="2" xr3:uid="{00000000-0010-0000-0A00-000002000000}" name="1월" totalsRowFunction="sum" dataDxfId="103" totalsRowDxfId="102">
      <calculatedColumnFormula>INDEX(마케팅계획[],MATCH(INDEX(MarketingVariances[],ROW()-ROW(MarketingVariances[[#Headers],[1월]]),1),INDEX(마케팅계획[],,1),0),MATCH(MarketingVariances[[#Headers],[1월]],마케팅계획[#Headers],0))-INDEX(마케팅_실비[],MATCH(INDEX(MarketingVariances[],ROW()-ROW(MarketingVariances[[#Headers],[1월]]),1),INDEX(마케팅계획[],,1),0),MATCH(MarketingVariances[[#Headers],[1월]],마케팅_실비[#Headers],0))</calculatedColumnFormula>
    </tableColumn>
    <tableColumn id="3" xr3:uid="{00000000-0010-0000-0A00-000003000000}" name="2월" totalsRowFunction="sum" dataDxfId="101" totalsRowDxfId="100">
      <calculatedColumnFormula>INDEX(마케팅계획[],MATCH(INDEX(MarketingVariances[],ROW()-ROW(MarketingVariances[[#Headers],[2월]]),1),INDEX(마케팅계획[],,1),0),MATCH(MarketingVariances[[#Headers],[2월]],마케팅계획[#Headers],0))-INDEX(마케팅_실비[],MATCH(INDEX(MarketingVariances[],ROW()-ROW(MarketingVariances[[#Headers],[2월]]),1),INDEX(마케팅계획[],,1),0),MATCH(MarketingVariances[[#Headers],[2월]],마케팅_실비[#Headers],0))</calculatedColumnFormula>
    </tableColumn>
    <tableColumn id="4" xr3:uid="{00000000-0010-0000-0A00-000004000000}" name="3월" totalsRowFunction="sum" dataDxfId="99" totalsRowDxfId="98">
      <calculatedColumnFormula>INDEX(마케팅계획[],MATCH(INDEX(MarketingVariances[],ROW()-ROW(MarketingVariances[[#Headers],[3월]]),1),INDEX(마케팅계획[],,1),0),MATCH(MarketingVariances[[#Headers],[3월]],마케팅계획[#Headers],0))-INDEX(마케팅_실비[],MATCH(INDEX(MarketingVariances[],ROW()-ROW(MarketingVariances[[#Headers],[3월]]),1),INDEX(마케팅계획[],,1),0),MATCH(MarketingVariances[[#Headers],[3월]],마케팅_실비[#Headers],0))</calculatedColumnFormula>
    </tableColumn>
    <tableColumn id="5" xr3:uid="{00000000-0010-0000-0A00-000005000000}" name="4월" totalsRowFunction="sum" dataDxfId="97" totalsRowDxfId="96">
      <calculatedColumnFormula>INDEX(마케팅계획[],MATCH(INDEX(MarketingVariances[],ROW()-ROW(MarketingVariances[[#Headers],[4월]]),1),INDEX(마케팅계획[],,1),0),MATCH(MarketingVariances[[#Headers],[4월]],마케팅계획[#Headers],0))-INDEX(마케팅_실비[],MATCH(INDEX(MarketingVariances[],ROW()-ROW(MarketingVariances[[#Headers],[4월]]),1),INDEX(마케팅계획[],,1),0),MATCH(MarketingVariances[[#Headers],[4월]],마케팅_실비[#Headers],0))</calculatedColumnFormula>
    </tableColumn>
    <tableColumn id="6" xr3:uid="{00000000-0010-0000-0A00-000006000000}" name="5월" totalsRowFunction="sum" dataDxfId="95" totalsRowDxfId="94">
      <calculatedColumnFormula>INDEX(마케팅계획[],MATCH(INDEX(MarketingVariances[],ROW()-ROW(MarketingVariances[[#Headers],[5월]]),1),INDEX(마케팅계획[],,1),0),MATCH(MarketingVariances[[#Headers],[5월]],마케팅계획[#Headers],0))-INDEX(마케팅_실비[],MATCH(INDEX(MarketingVariances[],ROW()-ROW(MarketingVariances[[#Headers],[5월]]),1),INDEX(마케팅계획[],,1),0),MATCH(MarketingVariances[[#Headers],[5월]],마케팅_실비[#Headers],0))</calculatedColumnFormula>
    </tableColumn>
    <tableColumn id="7" xr3:uid="{00000000-0010-0000-0A00-000007000000}" name="6월" totalsRowFunction="sum" dataDxfId="93" totalsRowDxfId="92">
      <calculatedColumnFormula>INDEX(마케팅계획[],MATCH(INDEX(MarketingVariances[],ROW()-ROW(MarketingVariances[[#Headers],[6월]]),1),INDEX(마케팅계획[],,1),0),MATCH(MarketingVariances[[#Headers],[6월]],마케팅계획[#Headers],0))-INDEX(마케팅_실비[],MATCH(INDEX(MarketingVariances[],ROW()-ROW(MarketingVariances[[#Headers],[6월]]),1),INDEX(마케팅계획[],,1),0),MATCH(MarketingVariances[[#Headers],[6월]],마케팅_실비[#Headers],0))</calculatedColumnFormula>
    </tableColumn>
    <tableColumn id="8" xr3:uid="{00000000-0010-0000-0A00-000008000000}" name="7월" totalsRowFunction="sum" dataDxfId="91" totalsRowDxfId="90">
      <calculatedColumnFormula>INDEX(마케팅계획[],MATCH(INDEX(MarketingVariances[],ROW()-ROW(MarketingVariances[[#Headers],[7월]]),1),INDEX(마케팅계획[],,1),0),MATCH(MarketingVariances[[#Headers],[7월]],마케팅계획[#Headers],0))-INDEX(마케팅_실비[],MATCH(INDEX(MarketingVariances[],ROW()-ROW(MarketingVariances[[#Headers],[7월]]),1),INDEX(마케팅계획[],,1),0),MATCH(MarketingVariances[[#Headers],[7월]],마케팅_실비[#Headers],0))</calculatedColumnFormula>
    </tableColumn>
    <tableColumn id="9" xr3:uid="{00000000-0010-0000-0A00-000009000000}" name="8월" totalsRowFunction="sum" dataDxfId="89" totalsRowDxfId="88">
      <calculatedColumnFormula>INDEX(마케팅계획[],MATCH(INDEX(MarketingVariances[],ROW()-ROW(MarketingVariances[[#Headers],[8월]]),1),INDEX(마케팅계획[],,1),0),MATCH(MarketingVariances[[#Headers],[8월]],마케팅계획[#Headers],0))-INDEX(마케팅_실비[],MATCH(INDEX(MarketingVariances[],ROW()-ROW(MarketingVariances[[#Headers],[8월]]),1),INDEX(마케팅계획[],,1),0),MATCH(MarketingVariances[[#Headers],[8월]],마케팅_실비[#Headers],0))</calculatedColumnFormula>
    </tableColumn>
    <tableColumn id="10" xr3:uid="{00000000-0010-0000-0A00-00000A000000}" name="9월" totalsRowFunction="sum" dataDxfId="87" totalsRowDxfId="86">
      <calculatedColumnFormula>INDEX(마케팅계획[],MATCH(INDEX(MarketingVariances[],ROW()-ROW(MarketingVariances[[#Headers],[9월]]),1),INDEX(마케팅계획[],,1),0),MATCH(MarketingVariances[[#Headers],[9월]],마케팅계획[#Headers],0))-INDEX(마케팅_실비[],MATCH(INDEX(MarketingVariances[],ROW()-ROW(MarketingVariances[[#Headers],[9월]]),1),INDEX(마케팅계획[],,1),0),MATCH(MarketingVariances[[#Headers],[9월]],마케팅_실비[#Headers],0))</calculatedColumnFormula>
    </tableColumn>
    <tableColumn id="11" xr3:uid="{00000000-0010-0000-0A00-00000B000000}" name="10월" totalsRowFunction="sum" dataDxfId="85" totalsRowDxfId="84">
      <calculatedColumnFormula>INDEX(마케팅계획[],MATCH(INDEX(MarketingVariances[],ROW()-ROW(MarketingVariances[[#Headers],[10월]]),1),INDEX(마케팅계획[],,1),0),MATCH(MarketingVariances[[#Headers],[10월]],마케팅계획[#Headers],0))-INDEX(마케팅_실비[],MATCH(INDEX(MarketingVariances[],ROW()-ROW(MarketingVariances[[#Headers],[10월]]),1),INDEX(마케팅계획[],,1),0),MATCH(MarketingVariances[[#Headers],[10월]],마케팅_실비[#Headers],0))</calculatedColumnFormula>
    </tableColumn>
    <tableColumn id="12" xr3:uid="{00000000-0010-0000-0A00-00000C000000}" name="11월" totalsRowFunction="sum" dataDxfId="83" totalsRowDxfId="82">
      <calculatedColumnFormula>INDEX(마케팅계획[],MATCH(INDEX(MarketingVariances[],ROW()-ROW(MarketingVariances[[#Headers],[11월]]),1),INDEX(마케팅계획[],,1),0),MATCH(MarketingVariances[[#Headers],[11월]],마케팅계획[#Headers],0))-INDEX(마케팅_실비[],MATCH(INDEX(MarketingVariances[],ROW()-ROW(MarketingVariances[[#Headers],[11월]]),1),INDEX(마케팅계획[],,1),0),MATCH(MarketingVariances[[#Headers],[11월]],마케팅_실비[#Headers],0))</calculatedColumnFormula>
    </tableColumn>
    <tableColumn id="13" xr3:uid="{00000000-0010-0000-0A00-00000D000000}" name="12월" totalsRowFunction="sum" dataDxfId="81" totalsRowDxfId="80">
      <calculatedColumnFormula>INDEX(마케팅계획[],MATCH(INDEX(MarketingVariances[],ROW()-ROW(MarketingVariances[[#Headers],[12월]]),1),INDEX(마케팅계획[],,1),0),MATCH(MarketingVariances[[#Headers],[12월]],마케팅계획[#Headers],0))-INDEX(마케팅_실비[],MATCH(INDEX(MarketingVariances[],ROW()-ROW(MarketingVariances[[#Headers],[12월]]),1),INDEX(마케팅계획[],,1),0),MATCH(MarketingVariances[[#Headers],[12월]],마케팅_실비[#Headers],0))</calculatedColumnFormula>
    </tableColumn>
    <tableColumn id="14" xr3:uid="{00000000-0010-0000-0A00-00000E000000}" name="연도" totalsRowFunction="sum" dataDxfId="79" totalsRowDxfId="78">
      <calculatedColumnFormula>SUM(MarketingVariances[[#This Row],[1월]:[12월]])</calculatedColumnFormula>
    </tableColumn>
  </tableColumns>
  <tableStyleInfo name="TableStyleLight8" showFirstColumn="1" showLastColumn="1" showRowStripes="0" showColumnStripes="0"/>
  <extLst>
    <ext xmlns:x14="http://schemas.microsoft.com/office/spreadsheetml/2009/9/main" uri="{504A1905-F514-4f6f-8877-14C23A59335A}">
      <x14:table altTextSummary="개월당 마케팅 비용의 차이가 이 표에서 자동으로 계산됩니다."/>
    </ext>
  </extLst>
</table>
</file>

<file path=xl/tables/table1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2" xr:uid="{00000000-000C-0000-FFFF-FFFF0B000000}" name="TrainingAndTravelVariances" displayName="TrainingAndTravelVariances" ref="B30:O33" totalsRowCount="1" headerRowDxfId="77" dataDxfId="75" totalsRowDxfId="73" headerRowBorderDxfId="76" tableBorderDxfId="74" totalsRowBorderDxfId="72">
  <autoFilter ref="B30:O32" xr:uid="{00000000-0009-0000-0100-00000C000000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  <filterColumn colId="13" hiddenButton="1"/>
  </autoFilter>
  <tableColumns count="14">
    <tableColumn id="1" xr3:uid="{00000000-0010-0000-0B00-000001000000}" name="교육/출장" totalsRowLabel="소계" dataDxfId="71" totalsRowDxfId="70"/>
    <tableColumn id="2" xr3:uid="{00000000-0010-0000-0B00-000002000000}" name="1월" totalsRowFunction="sum" dataDxfId="69" totalsRowDxfId="68">
      <calculatedColumnFormula>INDEX(교육_및_여행계획[],MATCH(INDEX(TrainingAndTravelVariances[],ROW()-ROW(TrainingAndTravelVariances[[#Headers],[1월]]),1),INDEX(교육_및_여행계획[],,1),0),MATCH(TrainingAndTravelVariances[[#Headers],[1월]],교육_및_여행계획[#Headers],0))-INDEX(교육_및_여행실비[],MATCH(INDEX(TrainingAndTravelVariances[],ROW()-ROW(TrainingAndTravelVariances[[#Headers],[1월]]),1),INDEX(교육_및_여행계획[],,1),0),MATCH(TrainingAndTravelVariances[[#Headers],[1월]],교육_및_여행실비[#Headers],0))</calculatedColumnFormula>
    </tableColumn>
    <tableColumn id="3" xr3:uid="{00000000-0010-0000-0B00-000003000000}" name="2월" totalsRowFunction="sum" dataDxfId="67" totalsRowDxfId="66">
      <calculatedColumnFormula>INDEX(교육_및_여행계획[],MATCH(INDEX(TrainingAndTravelVariances[],ROW()-ROW(TrainingAndTravelVariances[[#Headers],[2월]]),1),INDEX(교육_및_여행계획[],,1),0),MATCH(TrainingAndTravelVariances[[#Headers],[2월]],교육_및_여행계획[#Headers],0))-INDEX(교육_및_여행실비[],MATCH(INDEX(TrainingAndTravelVariances[],ROW()-ROW(TrainingAndTravelVariances[[#Headers],[2월]]),1),INDEX(교육_및_여행계획[],,1),0),MATCH(TrainingAndTravelVariances[[#Headers],[2월]],교육_및_여행실비[#Headers],0))</calculatedColumnFormula>
    </tableColumn>
    <tableColumn id="4" xr3:uid="{00000000-0010-0000-0B00-000004000000}" name="3월" totalsRowFunction="sum" dataDxfId="65" totalsRowDxfId="64">
      <calculatedColumnFormula>INDEX(교육_및_여행계획[],MATCH(INDEX(TrainingAndTravelVariances[],ROW()-ROW(TrainingAndTravelVariances[[#Headers],[3월]]),1),INDEX(교육_및_여행계획[],,1),0),MATCH(TrainingAndTravelVariances[[#Headers],[3월]],교육_및_여행계획[#Headers],0))-INDEX(교육_및_여행실비[],MATCH(INDEX(TrainingAndTravelVariances[],ROW()-ROW(TrainingAndTravelVariances[[#Headers],[3월]]),1),INDEX(교육_및_여행계획[],,1),0),MATCH(TrainingAndTravelVariances[[#Headers],[3월]],교육_및_여행실비[#Headers],0))</calculatedColumnFormula>
    </tableColumn>
    <tableColumn id="5" xr3:uid="{00000000-0010-0000-0B00-000005000000}" name="4월" totalsRowFunction="sum" dataDxfId="63" totalsRowDxfId="62">
      <calculatedColumnFormula>INDEX(교육_및_여행계획[],MATCH(INDEX(TrainingAndTravelVariances[],ROW()-ROW(TrainingAndTravelVariances[[#Headers],[4월]]),1),INDEX(교육_및_여행계획[],,1),0),MATCH(TrainingAndTravelVariances[[#Headers],[4월]],교육_및_여행계획[#Headers],0))-INDEX(교육_및_여행실비[],MATCH(INDEX(TrainingAndTravelVariances[],ROW()-ROW(TrainingAndTravelVariances[[#Headers],[4월]]),1),INDEX(교육_및_여행계획[],,1),0),MATCH(TrainingAndTravelVariances[[#Headers],[4월]],교육_및_여행실비[#Headers],0))</calculatedColumnFormula>
    </tableColumn>
    <tableColumn id="6" xr3:uid="{00000000-0010-0000-0B00-000006000000}" name="5월" totalsRowFunction="sum" dataDxfId="61" totalsRowDxfId="60">
      <calculatedColumnFormula>INDEX(교육_및_여행계획[],MATCH(INDEX(TrainingAndTravelVariances[],ROW()-ROW(TrainingAndTravelVariances[[#Headers],[5월]]),1),INDEX(교육_및_여행계획[],,1),0),MATCH(TrainingAndTravelVariances[[#Headers],[5월]],교육_및_여행계획[#Headers],0))-INDEX(교육_및_여행실비[],MATCH(INDEX(TrainingAndTravelVariances[],ROW()-ROW(TrainingAndTravelVariances[[#Headers],[5월]]),1),INDEX(교육_및_여행계획[],,1),0),MATCH(TrainingAndTravelVariances[[#Headers],[5월]],교육_및_여행실비[#Headers],0))</calculatedColumnFormula>
    </tableColumn>
    <tableColumn id="7" xr3:uid="{00000000-0010-0000-0B00-000007000000}" name="6월" totalsRowFunction="sum" dataDxfId="59" totalsRowDxfId="58">
      <calculatedColumnFormula>INDEX(교육_및_여행계획[],MATCH(INDEX(TrainingAndTravelVariances[],ROW()-ROW(TrainingAndTravelVariances[[#Headers],[6월]]),1),INDEX(교육_및_여행계획[],,1),0),MATCH(TrainingAndTravelVariances[[#Headers],[6월]],교육_및_여행계획[#Headers],0))-INDEX(교육_및_여행실비[],MATCH(INDEX(TrainingAndTravelVariances[],ROW()-ROW(TrainingAndTravelVariances[[#Headers],[6월]]),1),INDEX(교육_및_여행계획[],,1),0),MATCH(TrainingAndTravelVariances[[#Headers],[6월]],교육_및_여행실비[#Headers],0))</calculatedColumnFormula>
    </tableColumn>
    <tableColumn id="8" xr3:uid="{00000000-0010-0000-0B00-000008000000}" name="7월" totalsRowFunction="sum" dataDxfId="57" totalsRowDxfId="56">
      <calculatedColumnFormula>INDEX(교육_및_여행계획[],MATCH(INDEX(TrainingAndTravelVariances[],ROW()-ROW(TrainingAndTravelVariances[[#Headers],[7월]]),1),INDEX(교육_및_여행계획[],,1),0),MATCH(TrainingAndTravelVariances[[#Headers],[7월]],교육_및_여행계획[#Headers],0))-INDEX(교육_및_여행실비[],MATCH(INDEX(TrainingAndTravelVariances[],ROW()-ROW(TrainingAndTravelVariances[[#Headers],[7월]]),1),INDEX(교육_및_여행계획[],,1),0),MATCH(TrainingAndTravelVariances[[#Headers],[7월]],교육_및_여행실비[#Headers],0))</calculatedColumnFormula>
    </tableColumn>
    <tableColumn id="9" xr3:uid="{00000000-0010-0000-0B00-000009000000}" name="8월" totalsRowFunction="sum" dataDxfId="55" totalsRowDxfId="54">
      <calculatedColumnFormula>INDEX(교육_및_여행계획[],MATCH(INDEX(TrainingAndTravelVariances[],ROW()-ROW(TrainingAndTravelVariances[[#Headers],[8월]]),1),INDEX(교육_및_여행계획[],,1),0),MATCH(TrainingAndTravelVariances[[#Headers],[8월]],교육_및_여행계획[#Headers],0))-INDEX(교육_및_여행실비[],MATCH(INDEX(TrainingAndTravelVariances[],ROW()-ROW(TrainingAndTravelVariances[[#Headers],[8월]]),1),INDEX(교육_및_여행계획[],,1),0),MATCH(TrainingAndTravelVariances[[#Headers],[8월]],교육_및_여행실비[#Headers],0))</calculatedColumnFormula>
    </tableColumn>
    <tableColumn id="10" xr3:uid="{00000000-0010-0000-0B00-00000A000000}" name="9월" totalsRowFunction="sum" dataDxfId="53" totalsRowDxfId="52">
      <calculatedColumnFormula>INDEX(교육_및_여행계획[],MATCH(INDEX(TrainingAndTravelVariances[],ROW()-ROW(TrainingAndTravelVariances[[#Headers],[9월]]),1),INDEX(교육_및_여행계획[],,1),0),MATCH(TrainingAndTravelVariances[[#Headers],[9월]],교육_및_여행계획[#Headers],0))-INDEX(교육_및_여행실비[],MATCH(INDEX(TrainingAndTravelVariances[],ROW()-ROW(TrainingAndTravelVariances[[#Headers],[9월]]),1),INDEX(교육_및_여행계획[],,1),0),MATCH(TrainingAndTravelVariances[[#Headers],[9월]],교육_및_여행실비[#Headers],0))</calculatedColumnFormula>
    </tableColumn>
    <tableColumn id="11" xr3:uid="{00000000-0010-0000-0B00-00000B000000}" name="10월" totalsRowFunction="sum" dataDxfId="51" totalsRowDxfId="50">
      <calculatedColumnFormula>INDEX(교육_및_여행계획[],MATCH(INDEX(TrainingAndTravelVariances[],ROW()-ROW(TrainingAndTravelVariances[[#Headers],[10월]]),1),INDEX(교육_및_여행계획[],,1),0),MATCH(TrainingAndTravelVariances[[#Headers],[10월]],교육_및_여행계획[#Headers],0))-INDEX(교육_및_여행실비[],MATCH(INDEX(TrainingAndTravelVariances[],ROW()-ROW(TrainingAndTravelVariances[[#Headers],[10월]]),1),INDEX(교육_및_여행계획[],,1),0),MATCH(TrainingAndTravelVariances[[#Headers],[10월]],교육_및_여행실비[#Headers],0))</calculatedColumnFormula>
    </tableColumn>
    <tableColumn id="12" xr3:uid="{00000000-0010-0000-0B00-00000C000000}" name="11월" totalsRowFunction="sum" dataDxfId="49" totalsRowDxfId="48">
      <calculatedColumnFormula>INDEX(교육_및_여행계획[],MATCH(INDEX(TrainingAndTravelVariances[],ROW()-ROW(TrainingAndTravelVariances[[#Headers],[11월]]),1),INDEX(교육_및_여행계획[],,1),0),MATCH(TrainingAndTravelVariances[[#Headers],[11월]],교육_및_여행계획[#Headers],0))-INDEX(교육_및_여행실비[],MATCH(INDEX(TrainingAndTravelVariances[],ROW()-ROW(TrainingAndTravelVariances[[#Headers],[11월]]),1),INDEX(교육_및_여행계획[],,1),0),MATCH(TrainingAndTravelVariances[[#Headers],[11월]],교육_및_여행실비[#Headers],0))</calculatedColumnFormula>
    </tableColumn>
    <tableColumn id="13" xr3:uid="{00000000-0010-0000-0B00-00000D000000}" name="12월" totalsRowFunction="sum" dataDxfId="47" totalsRowDxfId="46">
      <calculatedColumnFormula>INDEX(교육_및_여행계획[],MATCH(INDEX(TrainingAndTravelVariances[],ROW()-ROW(TrainingAndTravelVariances[[#Headers],[12월]]),1),INDEX(교육_및_여행계획[],,1),0),MATCH(TrainingAndTravelVariances[[#Headers],[12월]],교육_및_여행계획[#Headers],0))-INDEX(교육_및_여행실비[],MATCH(INDEX(TrainingAndTravelVariances[],ROW()-ROW(TrainingAndTravelVariances[[#Headers],[12월]]),1),INDEX(교육_및_여행계획[],,1),0),MATCH(TrainingAndTravelVariances[[#Headers],[12월]],교육_및_여행실비[#Headers],0))</calculatedColumnFormula>
    </tableColumn>
    <tableColumn id="14" xr3:uid="{00000000-0010-0000-0B00-00000E000000}" name="연도" totalsRowFunction="sum" dataDxfId="45" totalsRowDxfId="44">
      <calculatedColumnFormula>SUM(TrainingAndTravelVariances[[#This Row],[1월]:[12월]])</calculatedColumnFormula>
    </tableColumn>
  </tableColumns>
  <tableStyleInfo name="TableStyleLight8" showFirstColumn="1" showLastColumn="1" showRowStripes="0" showColumnStripes="0"/>
  <extLst>
    <ext xmlns:x14="http://schemas.microsoft.com/office/spreadsheetml/2009/9/main" uri="{504A1905-F514-4f6f-8877-14C23A59335A}">
      <x14:table altTextSummary="개월당 교육 및 출장 비용의 차이가 이 표에서 자동으로 계산됩니다."/>
    </ext>
  </extLst>
</table>
</file>

<file path=xl/tables/table1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6" xr:uid="{FD450248-DB77-46F5-B207-E715DE10D029}" name="TotalVariances" displayName="TotalVariances" ref="B35:O37" headerRowDxfId="43" dataDxfId="42" tableBorderDxfId="41">
  <autoFilter ref="B35:O37" xr:uid="{B407F9FC-1AB0-4A37-B2B1-EDE36CD99728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  <filterColumn colId="13" hiddenButton="1"/>
  </autoFilter>
  <tableColumns count="14">
    <tableColumn id="1" xr3:uid="{4CA1B301-8171-4BDA-9269-D51F18A1CE72}" name="합계" totalsRowLabel="요약" dataDxfId="40" totalsRowDxfId="39"/>
    <tableColumn id="2" xr3:uid="{AE0C21A5-398B-42DE-950D-8AE4AD1A8551}" name="1월" dataDxfId="38" totalsRowDxfId="37">
      <calculatedColumnFormula>SUM($C35:C$36)</calculatedColumnFormula>
    </tableColumn>
    <tableColumn id="3" xr3:uid="{A43B0B0E-F35F-4E04-8A0D-11BB7356D5F1}" name="2월" dataDxfId="36" totalsRowDxfId="35">
      <calculatedColumnFormula>SUM($C35:D$36)</calculatedColumnFormula>
    </tableColumn>
    <tableColumn id="4" xr3:uid="{F14459A4-8E61-4E04-9A53-A7DA16CE366A}" name="3월" dataDxfId="34" totalsRowDxfId="33">
      <calculatedColumnFormula>SUM($C35:E$36)</calculatedColumnFormula>
    </tableColumn>
    <tableColumn id="5" xr3:uid="{1C90C974-8801-4A11-B3AF-1DC144BB0C14}" name="4월" dataDxfId="32" totalsRowDxfId="31">
      <calculatedColumnFormula>SUM($C35:F$36)</calculatedColumnFormula>
    </tableColumn>
    <tableColumn id="6" xr3:uid="{C8E3F4F6-5F27-4CC7-9916-6D86833782C1}" name="5월" dataDxfId="30" totalsRowDxfId="29">
      <calculatedColumnFormula>SUM($C35:G$36)</calculatedColumnFormula>
    </tableColumn>
    <tableColumn id="7" xr3:uid="{AF75D92B-7578-4087-BB78-DD5AD8165117}" name="6월" dataDxfId="28" totalsRowDxfId="27">
      <calculatedColumnFormula>SUM($C35:H$36)</calculatedColumnFormula>
    </tableColumn>
    <tableColumn id="8" xr3:uid="{35F61ABA-09FB-4695-B0F5-A2C6B6580A2E}" name="7월" dataDxfId="26" totalsRowDxfId="25">
      <calculatedColumnFormula>SUM($C35:I$36)</calculatedColumnFormula>
    </tableColumn>
    <tableColumn id="9" xr3:uid="{59F62437-45DC-439F-945A-D0E79C444E8E}" name="8월" dataDxfId="24" totalsRowDxfId="23">
      <calculatedColumnFormula>SUM($C35:J$36)</calculatedColumnFormula>
    </tableColumn>
    <tableColumn id="10" xr3:uid="{2BF9DCC5-B211-44A6-BD40-E91602CDA85C}" name="9월" dataDxfId="22" totalsRowDxfId="21">
      <calculatedColumnFormula>SUM($C35:K$36)</calculatedColumnFormula>
    </tableColumn>
    <tableColumn id="11" xr3:uid="{4280684A-CD23-4103-8664-029757D0A2A2}" name="10월" dataDxfId="20" totalsRowDxfId="19">
      <calculatedColumnFormula>SUM($C35:L$36)</calculatedColumnFormula>
    </tableColumn>
    <tableColumn id="12" xr3:uid="{07DED434-EC8F-4DAF-83E3-E350A33F2EAE}" name="11월" dataDxfId="18" totalsRowDxfId="17">
      <calculatedColumnFormula>SUM($C35:M$36)</calculatedColumnFormula>
    </tableColumn>
    <tableColumn id="13" xr3:uid="{32BA0102-0F05-43CF-91BA-724F1FE01DAA}" name="12월" dataDxfId="16" totalsRowDxfId="15">
      <calculatedColumnFormula>SUM($C35:N$36)</calculatedColumnFormula>
    </tableColumn>
    <tableColumn id="14" xr3:uid="{57A0D710-AEB8-4057-928D-010058E02081}" name="연도" totalsRowFunction="sum" dataDxfId="14" totalsRowDxfId="13"/>
  </tableColumns>
  <tableStyleInfo showFirstColumn="1" showLastColumn="0" showRowStripes="0" showColumnStripes="0"/>
  <extLst>
    <ext xmlns:x14="http://schemas.microsoft.com/office/spreadsheetml/2009/9/main" uri="{504A1905-F514-4f6f-8877-14C23A59335A}">
      <x14:table altTextSummary="월별 및 총 지출 차이가 이 표에서 자동으로 계산됩니다."/>
    </ext>
  </extLst>
</table>
</file>

<file path=xl/tables/table1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3" xr:uid="{A029F34C-CC7A-4C9E-8687-3CBA6E03BB7D}" name="분석" displayName="분석" ref="B5:F10" headerRowDxfId="12" dataDxfId="11" tableBorderDxfId="10">
  <autoFilter ref="B5:F10" xr:uid="{FF30FBEE-D7F5-45FA-A994-455B735EFD11}">
    <filterColumn colId="0" hiddenButton="1"/>
    <filterColumn colId="1" hiddenButton="1"/>
    <filterColumn colId="2" hiddenButton="1"/>
    <filterColumn colId="3" hiddenButton="1"/>
    <filterColumn colId="4" hiddenButton="1"/>
  </autoFilter>
  <tableColumns count="5">
    <tableColumn id="1" xr3:uid="{85D5DD3A-2DA8-4CC6-8C75-2348A5B1DCE5}" name="지출 범주" totalsRowLabel="요약" dataDxfId="9" totalsRowDxfId="8"/>
    <tableColumn id="2" xr3:uid="{71038352-BC76-49DD-9F6C-B394E5F033ED}" name="계획한 지출" dataDxfId="7" totalsRowDxfId="6"/>
    <tableColumn id="3" xr3:uid="{19ED3EBC-BC10-47F6-9800-62129A32BC8E}" name="실제 지출" dataDxfId="5" totalsRowDxfId="4"/>
    <tableColumn id="4" xr3:uid="{E8D5E1DD-7CB1-4A1A-8F42-EFBF70790FE7}" name="지출 차이" dataDxfId="3" totalsRowDxfId="2">
      <calculatedColumnFormula>C6-D6</calculatedColumnFormula>
    </tableColumn>
    <tableColumn id="5" xr3:uid="{47E1881E-12A2-4F0E-8364-B79F2DC5D0B1}" name="차이 비율" totalsRowFunction="sum" dataDxfId="1" totalsRowDxfId="0">
      <calculatedColumnFormula>E6/C6</calculatedColumnFormula>
    </tableColumn>
  </tableColumns>
  <tableStyleInfo showFirstColumn="1" showLastColumn="0" showRowStripes="0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1000000}" name="MarketingPlan" displayName="마케팅계획" ref="B21:O28" totalsRowCount="1" headerRowDxfId="488" dataDxfId="486" totalsRowDxfId="484" headerRowBorderDxfId="487" tableBorderDxfId="485" totalsRowBorderDxfId="483">
  <tableColumns count="14">
    <tableColumn id="1" xr3:uid="{00000000-0010-0000-0100-000001000000}" name="마케팅 비용" totalsRowLabel="소계" dataDxfId="482" totalsRowDxfId="481"/>
    <tableColumn id="2" xr3:uid="{00000000-0010-0000-0100-000002000000}" name="1월" totalsRowFunction="sum" dataDxfId="480" totalsRowDxfId="479"/>
    <tableColumn id="3" xr3:uid="{00000000-0010-0000-0100-000003000000}" name="2월" totalsRowFunction="sum" dataDxfId="478" totalsRowDxfId="477"/>
    <tableColumn id="4" xr3:uid="{00000000-0010-0000-0100-000004000000}" name="3월" totalsRowFunction="sum" dataDxfId="476" totalsRowDxfId="475"/>
    <tableColumn id="5" xr3:uid="{00000000-0010-0000-0100-000005000000}" name="4월" totalsRowFunction="sum" dataDxfId="474" totalsRowDxfId="473"/>
    <tableColumn id="6" xr3:uid="{00000000-0010-0000-0100-000006000000}" name="5월" totalsRowFunction="sum" dataDxfId="472" totalsRowDxfId="471"/>
    <tableColumn id="7" xr3:uid="{00000000-0010-0000-0100-000007000000}" name="6월" totalsRowFunction="sum" dataDxfId="470" totalsRowDxfId="469"/>
    <tableColumn id="8" xr3:uid="{00000000-0010-0000-0100-000008000000}" name="7월" totalsRowFunction="sum" dataDxfId="468" totalsRowDxfId="467"/>
    <tableColumn id="9" xr3:uid="{00000000-0010-0000-0100-000009000000}" name="8월" totalsRowFunction="sum" dataDxfId="466" totalsRowDxfId="465"/>
    <tableColumn id="10" xr3:uid="{00000000-0010-0000-0100-00000A000000}" name="9월" totalsRowFunction="sum" dataDxfId="464" totalsRowDxfId="463"/>
    <tableColumn id="11" xr3:uid="{00000000-0010-0000-0100-00000B000000}" name="10월" totalsRowFunction="sum" dataDxfId="462" totalsRowDxfId="461"/>
    <tableColumn id="12" xr3:uid="{00000000-0010-0000-0100-00000C000000}" name="11월" totalsRowFunction="sum" dataDxfId="460" totalsRowDxfId="459"/>
    <tableColumn id="13" xr3:uid="{00000000-0010-0000-0100-00000D000000}" name="12월" totalsRowFunction="sum" dataDxfId="458" totalsRowDxfId="457"/>
    <tableColumn id="14" xr3:uid="{00000000-0010-0000-0100-00000E000000}" name="연도" totalsRowFunction="sum" dataDxfId="456" totalsRowDxfId="455">
      <calculatedColumnFormula>SUM(C22:N22)</calculatedColumnFormula>
    </tableColumn>
  </tableColumns>
  <tableStyleInfo name="TableStyleMedium1" showFirstColumn="1" showLastColumn="1" showRowStripes="0" showColumnStripes="0"/>
  <extLst>
    <ext xmlns:x14="http://schemas.microsoft.com/office/spreadsheetml/2009/9/main" uri="{504A1905-F514-4f6f-8877-14C23A59335A}">
      <x14:table altTextSummary="이 표에 계획된 월별 마케팅 비용을 입력합니다. 합계는 마지막에 자동으로 계산됩니다"/>
    </ext>
  </extLst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2000000}" name="교육_및_여행계획" displayName="교육_및_여행계획" ref="B30:O33" totalsRowCount="1" headerRowDxfId="454" dataDxfId="452" totalsRowDxfId="450" headerRowBorderDxfId="453" tableBorderDxfId="451" totalsRowBorderDxfId="449">
  <autoFilter ref="B30:O32" xr:uid="{00000000-0009-0000-0100-000003000000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  <filterColumn colId="13" hiddenButton="1"/>
  </autoFilter>
  <tableColumns count="14">
    <tableColumn id="1" xr3:uid="{00000000-0010-0000-0200-000001000000}" name="교육/출장" totalsRowLabel="소계" dataDxfId="448" totalsRowDxfId="447"/>
    <tableColumn id="2" xr3:uid="{00000000-0010-0000-0200-000002000000}" name="1월" totalsRowFunction="sum" dataDxfId="446" totalsRowDxfId="445"/>
    <tableColumn id="3" xr3:uid="{00000000-0010-0000-0200-000003000000}" name="2월" totalsRowFunction="sum" dataDxfId="444" totalsRowDxfId="443"/>
    <tableColumn id="4" xr3:uid="{00000000-0010-0000-0200-000004000000}" name="3월" totalsRowFunction="sum" dataDxfId="442" totalsRowDxfId="441"/>
    <tableColumn id="5" xr3:uid="{00000000-0010-0000-0200-000005000000}" name="4월" totalsRowFunction="sum" dataDxfId="440" totalsRowDxfId="439"/>
    <tableColumn id="6" xr3:uid="{00000000-0010-0000-0200-000006000000}" name="5월" totalsRowFunction="sum" dataDxfId="438" totalsRowDxfId="437"/>
    <tableColumn id="7" xr3:uid="{00000000-0010-0000-0200-000007000000}" name="6월" totalsRowFunction="sum" dataDxfId="436" totalsRowDxfId="435"/>
    <tableColumn id="8" xr3:uid="{00000000-0010-0000-0200-000008000000}" name="7월" totalsRowFunction="sum" dataDxfId="434" totalsRowDxfId="433"/>
    <tableColumn id="9" xr3:uid="{00000000-0010-0000-0200-000009000000}" name="8월" totalsRowFunction="sum" dataDxfId="432" totalsRowDxfId="431"/>
    <tableColumn id="10" xr3:uid="{00000000-0010-0000-0200-00000A000000}" name="9월" totalsRowFunction="sum" dataDxfId="430" totalsRowDxfId="429"/>
    <tableColumn id="11" xr3:uid="{00000000-0010-0000-0200-00000B000000}" name="10월" totalsRowFunction="sum" dataDxfId="428" totalsRowDxfId="427"/>
    <tableColumn id="12" xr3:uid="{00000000-0010-0000-0200-00000C000000}" name="11월" totalsRowFunction="sum" dataDxfId="426" totalsRowDxfId="425"/>
    <tableColumn id="13" xr3:uid="{00000000-0010-0000-0200-00000D000000}" name="12월" totalsRowFunction="sum" dataDxfId="424" totalsRowDxfId="423"/>
    <tableColumn id="14" xr3:uid="{00000000-0010-0000-0200-00000E000000}" name="연도" totalsRowFunction="sum" dataDxfId="422" totalsRowDxfId="421">
      <calculatedColumnFormula>SUM(C31:N31)</calculatedColumnFormula>
    </tableColumn>
  </tableColumns>
  <tableStyleInfo name="TableStyleMedium1" showFirstColumn="1" showLastColumn="1" showRowStripes="0" showColumnStripes="0"/>
  <extLst>
    <ext xmlns:x14="http://schemas.microsoft.com/office/spreadsheetml/2009/9/main" uri="{504A1905-F514-4f6f-8877-14C23A59335A}">
      <x14:table altTextSummary="이 표에 계획된 월별 교육 및 출장 비용을 입력합니다. 합계는 마지막에 자동으로 계산됩니다"/>
    </ext>
  </extLst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00000000-000C-0000-FFFF-FFFF03000000}" name="직원계획" displayName="직원계획" ref="B5:O8" totalsRowCount="1" headerRowDxfId="420" dataDxfId="418" totalsRowDxfId="416" headerRowBorderDxfId="419" tableBorderDxfId="417" totalsRowBorderDxfId="415">
  <autoFilter ref="B5:O7" xr:uid="{00000000-0009-0000-0100-000007000000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  <filterColumn colId="13" hiddenButton="1"/>
  </autoFilter>
  <tableColumns count="14">
    <tableColumn id="1" xr3:uid="{00000000-0010-0000-0300-000001000000}" name="직원 비용" totalsRowLabel="소계" dataDxfId="414" totalsRowDxfId="413"/>
    <tableColumn id="2" xr3:uid="{00000000-0010-0000-0300-000002000000}" name="1월" totalsRowFunction="sum" dataDxfId="412" totalsRowDxfId="411">
      <calculatedColumnFormula>C5*0.27</calculatedColumnFormula>
    </tableColumn>
    <tableColumn id="3" xr3:uid="{00000000-0010-0000-0300-000003000000}" name="2월" totalsRowFunction="sum" dataDxfId="410" totalsRowDxfId="409">
      <calculatedColumnFormula>D5*0.27</calculatedColumnFormula>
    </tableColumn>
    <tableColumn id="4" xr3:uid="{00000000-0010-0000-0300-000004000000}" name="3월" totalsRowFunction="sum" dataDxfId="408" totalsRowDxfId="407">
      <calculatedColumnFormula>E5*0.27</calculatedColumnFormula>
    </tableColumn>
    <tableColumn id="5" xr3:uid="{00000000-0010-0000-0300-000005000000}" name="4월" totalsRowFunction="sum" dataDxfId="406" totalsRowDxfId="405">
      <calculatedColumnFormula>F5*0.27</calculatedColumnFormula>
    </tableColumn>
    <tableColumn id="6" xr3:uid="{00000000-0010-0000-0300-000006000000}" name="5월" totalsRowFunction="sum" dataDxfId="404" totalsRowDxfId="403">
      <calculatedColumnFormula>G5*0.27</calculatedColumnFormula>
    </tableColumn>
    <tableColumn id="7" xr3:uid="{00000000-0010-0000-0300-000007000000}" name="6월" totalsRowFunction="sum" dataDxfId="402" totalsRowDxfId="401">
      <calculatedColumnFormula>H5*0.27</calculatedColumnFormula>
    </tableColumn>
    <tableColumn id="8" xr3:uid="{00000000-0010-0000-0300-000008000000}" name="7월" totalsRowFunction="sum" dataDxfId="400" totalsRowDxfId="399">
      <calculatedColumnFormula>I5*0.27</calculatedColumnFormula>
    </tableColumn>
    <tableColumn id="9" xr3:uid="{00000000-0010-0000-0300-000009000000}" name="8월" totalsRowFunction="sum" dataDxfId="398" totalsRowDxfId="397">
      <calculatedColumnFormula>J5*0.27</calculatedColumnFormula>
    </tableColumn>
    <tableColumn id="10" xr3:uid="{00000000-0010-0000-0300-00000A000000}" name="9월" totalsRowFunction="sum" dataDxfId="396" totalsRowDxfId="395">
      <calculatedColumnFormula>K5*0.27</calculatedColumnFormula>
    </tableColumn>
    <tableColumn id="11" xr3:uid="{00000000-0010-0000-0300-00000B000000}" name="10월" totalsRowFunction="sum" dataDxfId="394" totalsRowDxfId="393">
      <calculatedColumnFormula>L5*0.27</calculatedColumnFormula>
    </tableColumn>
    <tableColumn id="12" xr3:uid="{00000000-0010-0000-0300-00000C000000}" name="11월" totalsRowFunction="sum" dataDxfId="392" totalsRowDxfId="391">
      <calculatedColumnFormula>M5*0.27</calculatedColumnFormula>
    </tableColumn>
    <tableColumn id="13" xr3:uid="{00000000-0010-0000-0300-00000D000000}" name="12월" totalsRowFunction="sum" dataDxfId="390" totalsRowDxfId="389">
      <calculatedColumnFormula>N5*0.27</calculatedColumnFormula>
    </tableColumn>
    <tableColumn id="14" xr3:uid="{00000000-0010-0000-0300-00000E000000}" name="연도" totalsRowFunction="sum" dataDxfId="388" totalsRowDxfId="387">
      <calculatedColumnFormula>SUM(C6:N6)</calculatedColumnFormula>
    </tableColumn>
  </tableColumns>
  <tableStyleInfo name="TableStyleMedium1" showFirstColumn="1" showLastColumn="1" showRowStripes="1" showColumnStripes="0"/>
  <extLst>
    <ext xmlns:x14="http://schemas.microsoft.com/office/spreadsheetml/2009/9/main" uri="{504A1905-F514-4f6f-8877-14C23A59335A}">
      <x14:table altTextSummary="이 표에 계획된 월별 직원 비용을 입력합니다. 합계는 마지막에 자동으로 계산됩니다"/>
    </ext>
  </extLst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4" xr:uid="{001654C0-A6E2-4402-ADF4-C02B29E915BD}" name="계획합계" displayName="PlannedTotal" ref="B35:O37" headerRowDxfId="386" dataDxfId="384" totalsRowDxfId="382" headerRowBorderDxfId="385" tableBorderDxfId="383" totalsRowBorderDxfId="381">
  <autoFilter ref="B35:O37" xr:uid="{630CA614-6744-438B-8D74-F7C59585F1ED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  <filterColumn colId="13" hiddenButton="1"/>
  </autoFilter>
  <tableColumns count="14">
    <tableColumn id="1" xr3:uid="{7DAEAEE0-3B16-417F-B274-1F203D9CFCF2}" name="합계" totalsRowLabel="요약" dataDxfId="380" totalsRowDxfId="379"/>
    <tableColumn id="2" xr3:uid="{3CBCAAC6-5850-43CE-8A4B-7299FADFEA94}" name="1월" dataDxfId="378" totalsRowDxfId="377">
      <calculatedColumnFormula>SUM($C35:C$36)</calculatedColumnFormula>
    </tableColumn>
    <tableColumn id="3" xr3:uid="{E78EAAAB-F732-4079-94F1-D17531764B41}" name="2월" dataDxfId="376" totalsRowDxfId="375">
      <calculatedColumnFormula>SUM($C35:D$36)</calculatedColumnFormula>
    </tableColumn>
    <tableColumn id="4" xr3:uid="{7E178853-B334-4E02-A0B5-9E8AC39D6929}" name="3월" dataDxfId="374" totalsRowDxfId="373">
      <calculatedColumnFormula>SUM($C35:E$36)</calculatedColumnFormula>
    </tableColumn>
    <tableColumn id="5" xr3:uid="{901BCAA1-7C45-46E6-9DAA-C055B5CC4D9E}" name="4월" dataDxfId="372" totalsRowDxfId="371">
      <calculatedColumnFormula>SUM($C35:F$36)</calculatedColumnFormula>
    </tableColumn>
    <tableColumn id="6" xr3:uid="{FDC62F5A-FCA8-49DA-AFE4-FBDA22CB588C}" name="5월" dataDxfId="370" totalsRowDxfId="369">
      <calculatedColumnFormula>SUM($C35:G$36)</calculatedColumnFormula>
    </tableColumn>
    <tableColumn id="7" xr3:uid="{6B7E4F62-6387-4545-9593-FCFE8EB0E87B}" name="6월" dataDxfId="368" totalsRowDxfId="367">
      <calculatedColumnFormula>SUM($C35:H$36)</calculatedColumnFormula>
    </tableColumn>
    <tableColumn id="8" xr3:uid="{29C96D76-82C3-4C86-A866-135D2B5F6766}" name="7월" dataDxfId="366" totalsRowDxfId="365">
      <calculatedColumnFormula>SUM($C35:I$36)</calculatedColumnFormula>
    </tableColumn>
    <tableColumn id="9" xr3:uid="{8EAF7A8A-BCFD-4A07-ADFE-7B3A8A367BB3}" name="8월" dataDxfId="364" totalsRowDxfId="363">
      <calculatedColumnFormula>SUM($C35:J$36)</calculatedColumnFormula>
    </tableColumn>
    <tableColumn id="10" xr3:uid="{F40CD844-EFB4-4B82-8FEA-F130D1DDE9B6}" name="9월" dataDxfId="362" totalsRowDxfId="361">
      <calculatedColumnFormula>SUM($C35:K$36)</calculatedColumnFormula>
    </tableColumn>
    <tableColumn id="11" xr3:uid="{42E3BDAF-1274-4A42-93E1-A70D8EFF4D76}" name="10월" dataDxfId="360" totalsRowDxfId="359">
      <calculatedColumnFormula>SUM($C35:L$36)</calculatedColumnFormula>
    </tableColumn>
    <tableColumn id="12" xr3:uid="{4F7ADDB3-3705-4D5F-B56D-EBBC8E7DFAFB}" name="11월" dataDxfId="358" totalsRowDxfId="357">
      <calculatedColumnFormula>SUM($C35:M$36)</calculatedColumnFormula>
    </tableColumn>
    <tableColumn id="13" xr3:uid="{56789314-1137-4ED4-BA2B-969187ADECB2}" name="12월" dataDxfId="356" totalsRowDxfId="355">
      <calculatedColumnFormula>SUM($C35:N$36)</calculatedColumnFormula>
    </tableColumn>
    <tableColumn id="14" xr3:uid="{284F34B8-8D32-4E44-96FD-25CE69A931D2}" name="연도" totalsRowFunction="sum" dataDxfId="354" totalsRowDxfId="353"/>
  </tableColumns>
  <tableStyleInfo showFirstColumn="1" showLastColumn="0" showRowStripes="0" showColumnStripes="0"/>
  <extLst>
    <ext xmlns:x14="http://schemas.microsoft.com/office/spreadsheetml/2009/9/main" uri="{504A1905-F514-4f6f-8877-14C23A59335A}">
      <x14:table altTextSummary="월별 및 총 계획 지출이 이 표에서 자동으로 계산됩니다."/>
    </ext>
  </extLst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4000000}" name="OfficeActual" displayName="사무실_실비" ref="B10:O19" totalsRowCount="1" headerRowDxfId="352" dataDxfId="350" totalsRowDxfId="348" headerRowBorderDxfId="351" tableBorderDxfId="349" totalsRowBorderDxfId="347">
  <tableColumns count="14">
    <tableColumn id="1" xr3:uid="{00000000-0010-0000-0400-000001000000}" name="사무 비용" totalsRowLabel="소계" dataDxfId="346" totalsRowDxfId="345"/>
    <tableColumn id="2" xr3:uid="{00000000-0010-0000-0400-000002000000}" name="1월" totalsRowFunction="sum" dataDxfId="344" totalsRowDxfId="343"/>
    <tableColumn id="3" xr3:uid="{00000000-0010-0000-0400-000003000000}" name="2월" totalsRowFunction="sum" dataDxfId="342" totalsRowDxfId="341"/>
    <tableColumn id="4" xr3:uid="{00000000-0010-0000-0400-000004000000}" name="3월" totalsRowFunction="sum" dataDxfId="340" totalsRowDxfId="339"/>
    <tableColumn id="5" xr3:uid="{00000000-0010-0000-0400-000005000000}" name="4월" totalsRowFunction="sum" dataDxfId="338" totalsRowDxfId="337"/>
    <tableColumn id="6" xr3:uid="{00000000-0010-0000-0400-000006000000}" name="5월" totalsRowFunction="sum" dataDxfId="336" totalsRowDxfId="335"/>
    <tableColumn id="7" xr3:uid="{00000000-0010-0000-0400-000007000000}" name="6월" totalsRowFunction="sum" dataDxfId="334" totalsRowDxfId="333"/>
    <tableColumn id="8" xr3:uid="{00000000-0010-0000-0400-000008000000}" name="7월" totalsRowFunction="sum" dataDxfId="332" totalsRowDxfId="331"/>
    <tableColumn id="9" xr3:uid="{00000000-0010-0000-0400-000009000000}" name="8월" totalsRowFunction="sum" dataDxfId="330" totalsRowDxfId="329"/>
    <tableColumn id="10" xr3:uid="{00000000-0010-0000-0400-00000A000000}" name="9월" totalsRowFunction="sum" dataDxfId="328" totalsRowDxfId="327"/>
    <tableColumn id="11" xr3:uid="{00000000-0010-0000-0400-00000B000000}" name="10월" totalsRowFunction="sum" dataDxfId="326" totalsRowDxfId="325"/>
    <tableColumn id="12" xr3:uid="{00000000-0010-0000-0400-00000C000000}" name="11월" totalsRowFunction="sum" dataDxfId="324" totalsRowDxfId="323"/>
    <tableColumn id="13" xr3:uid="{00000000-0010-0000-0400-00000D000000}" name="12월" totalsRowFunction="sum" dataDxfId="322" totalsRowDxfId="321"/>
    <tableColumn id="14" xr3:uid="{00000000-0010-0000-0400-00000E000000}" name="연도" totalsRowFunction="sum" dataDxfId="320" totalsRowDxfId="319">
      <calculatedColumnFormula>SUM(C11:N11)</calculatedColumnFormula>
    </tableColumn>
  </tableColumns>
  <tableStyleInfo name="TableStyleMedium1" showFirstColumn="1" showLastColumn="1" showRowStripes="0" showColumnStripes="0"/>
  <extLst>
    <ext xmlns:x14="http://schemas.microsoft.com/office/spreadsheetml/2009/9/main" uri="{504A1905-F514-4f6f-8877-14C23A59335A}">
      <x14:table altTextSummary="이 표에 실제 월별 사무실 비용을 입력합니다. 합계는 마지막에 자동으로 계산됩니다"/>
    </ext>
  </extLst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0000000-000C-0000-FFFF-FFFF05000000}" name="마케팅_실비" displayName="마케팅_실비" ref="B21:O28" totalsRowCount="1" headerRowDxfId="318" dataDxfId="316" totalsRowDxfId="314" headerRowBorderDxfId="317" tableBorderDxfId="315" totalsRowBorderDxfId="313">
  <autoFilter ref="B21:O27" xr:uid="{00000000-0009-0000-0100-000005000000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  <filterColumn colId="13" hiddenButton="1"/>
  </autoFilter>
  <tableColumns count="14">
    <tableColumn id="1" xr3:uid="{00000000-0010-0000-0500-000001000000}" name="마케팅 비용" totalsRowLabel="소계" dataDxfId="312" totalsRowDxfId="311"/>
    <tableColumn id="2" xr3:uid="{00000000-0010-0000-0500-000002000000}" name="1월" totalsRowFunction="sum" dataDxfId="310" totalsRowDxfId="309"/>
    <tableColumn id="3" xr3:uid="{00000000-0010-0000-0500-000003000000}" name="2월" totalsRowFunction="sum" dataDxfId="308" totalsRowDxfId="307"/>
    <tableColumn id="4" xr3:uid="{00000000-0010-0000-0500-000004000000}" name="3월" totalsRowFunction="sum" dataDxfId="306" totalsRowDxfId="305"/>
    <tableColumn id="5" xr3:uid="{00000000-0010-0000-0500-000005000000}" name="4월" totalsRowFunction="sum" dataDxfId="304" totalsRowDxfId="303"/>
    <tableColumn id="6" xr3:uid="{00000000-0010-0000-0500-000006000000}" name="5월" totalsRowFunction="sum" dataDxfId="302" totalsRowDxfId="301"/>
    <tableColumn id="7" xr3:uid="{00000000-0010-0000-0500-000007000000}" name="6월" totalsRowFunction="sum" dataDxfId="300" totalsRowDxfId="299"/>
    <tableColumn id="8" xr3:uid="{00000000-0010-0000-0500-000008000000}" name="7월" totalsRowFunction="sum" dataDxfId="298" totalsRowDxfId="297"/>
    <tableColumn id="9" xr3:uid="{00000000-0010-0000-0500-000009000000}" name="8월" totalsRowFunction="sum" dataDxfId="296" totalsRowDxfId="295"/>
    <tableColumn id="10" xr3:uid="{00000000-0010-0000-0500-00000A000000}" name="9월" totalsRowFunction="sum" dataDxfId="294" totalsRowDxfId="293"/>
    <tableColumn id="11" xr3:uid="{00000000-0010-0000-0500-00000B000000}" name="10월" totalsRowFunction="sum" dataDxfId="292" totalsRowDxfId="291"/>
    <tableColumn id="12" xr3:uid="{00000000-0010-0000-0500-00000C000000}" name="11월" totalsRowFunction="sum" dataDxfId="290" totalsRowDxfId="289"/>
    <tableColumn id="13" xr3:uid="{00000000-0010-0000-0500-00000D000000}" name="12월" totalsRowFunction="sum" dataDxfId="288" totalsRowDxfId="287"/>
    <tableColumn id="14" xr3:uid="{00000000-0010-0000-0500-00000E000000}" name="연도" totalsRowFunction="sum" dataDxfId="286" totalsRowDxfId="285">
      <calculatedColumnFormula>SUM(C22:N22)</calculatedColumnFormula>
    </tableColumn>
  </tableColumns>
  <tableStyleInfo name="TableStyleMedium1" showFirstColumn="1" showLastColumn="1" showRowStripes="0" showColumnStripes="0"/>
  <extLst>
    <ext xmlns:x14="http://schemas.microsoft.com/office/spreadsheetml/2009/9/main" uri="{504A1905-F514-4f6f-8877-14C23A59335A}">
      <x14:table altTextSummary="이 표에 실제 월별 마케팅 비용을 입력합니다. 합계는 마지막에 자동으로 계산됩니다"/>
    </ext>
  </extLst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00000000-000C-0000-FFFF-FFFF06000000}" name="교육_및_여행실비" displayName="교육_및_여행실비" ref="B30:O33" totalsRowCount="1" headerRowDxfId="284" dataDxfId="282" totalsRowDxfId="280" headerRowBorderDxfId="283" tableBorderDxfId="281" totalsRowBorderDxfId="279">
  <autoFilter ref="B30:O32" xr:uid="{00000000-0009-0000-0100-000006000000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  <filterColumn colId="13" hiddenButton="1"/>
  </autoFilter>
  <tableColumns count="14">
    <tableColumn id="1" xr3:uid="{00000000-0010-0000-0600-000001000000}" name="교육/출장" totalsRowLabel="소계" dataDxfId="278" totalsRowDxfId="277"/>
    <tableColumn id="2" xr3:uid="{00000000-0010-0000-0600-000002000000}" name="1월" totalsRowFunction="sum" dataDxfId="276" totalsRowDxfId="275"/>
    <tableColumn id="3" xr3:uid="{00000000-0010-0000-0600-000003000000}" name="2월" totalsRowFunction="sum" dataDxfId="274" totalsRowDxfId="273"/>
    <tableColumn id="4" xr3:uid="{00000000-0010-0000-0600-000004000000}" name="3월" totalsRowFunction="sum" dataDxfId="272" totalsRowDxfId="271"/>
    <tableColumn id="5" xr3:uid="{00000000-0010-0000-0600-000005000000}" name="4월" totalsRowFunction="sum" dataDxfId="270" totalsRowDxfId="269"/>
    <tableColumn id="6" xr3:uid="{00000000-0010-0000-0600-000006000000}" name="5월" totalsRowFunction="sum" dataDxfId="268" totalsRowDxfId="267"/>
    <tableColumn id="7" xr3:uid="{00000000-0010-0000-0600-000007000000}" name="6월" totalsRowFunction="sum" dataDxfId="266" totalsRowDxfId="265"/>
    <tableColumn id="8" xr3:uid="{00000000-0010-0000-0600-000008000000}" name="7월" totalsRowFunction="sum" dataDxfId="264" totalsRowDxfId="263"/>
    <tableColumn id="9" xr3:uid="{00000000-0010-0000-0600-000009000000}" name="8월" totalsRowFunction="sum" dataDxfId="262" totalsRowDxfId="261"/>
    <tableColumn id="10" xr3:uid="{00000000-0010-0000-0600-00000A000000}" name="9월" totalsRowFunction="sum" dataDxfId="260" totalsRowDxfId="259"/>
    <tableColumn id="11" xr3:uid="{00000000-0010-0000-0600-00000B000000}" name="10월" totalsRowFunction="sum" dataDxfId="258" totalsRowDxfId="257"/>
    <tableColumn id="12" xr3:uid="{00000000-0010-0000-0600-00000C000000}" name="11월" totalsRowFunction="sum" dataDxfId="256" totalsRowDxfId="255"/>
    <tableColumn id="13" xr3:uid="{00000000-0010-0000-0600-00000D000000}" name="12월" totalsRowFunction="sum" dataDxfId="254" totalsRowDxfId="253"/>
    <tableColumn id="14" xr3:uid="{00000000-0010-0000-0600-00000E000000}" name="연도" totalsRowFunction="sum" dataDxfId="252" totalsRowDxfId="251">
      <calculatedColumnFormula>SUM(C31:N31)</calculatedColumnFormula>
    </tableColumn>
  </tableColumns>
  <tableStyleInfo name="TableStyleMedium1" showFirstColumn="1" showLastColumn="1" showRowStripes="0" showColumnStripes="0"/>
  <extLst>
    <ext xmlns:x14="http://schemas.microsoft.com/office/spreadsheetml/2009/9/main" uri="{504A1905-F514-4f6f-8877-14C23A59335A}">
      <x14:table altTextSummary="이 표에 실제 월간 교육 및 출장 비용을 입력합니다. 합계는 마지막에 자동으로 계산됩니다"/>
    </ext>
  </extLst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00000000-000C-0000-FFFF-FFFF07000000}" name="직원실비" displayName="직원실비" ref="B5:O8" totalsRowCount="1" headerRowDxfId="250" dataDxfId="248" totalsRowDxfId="246" headerRowBorderDxfId="249" tableBorderDxfId="247" totalsRowBorderDxfId="245">
  <autoFilter ref="B5:O7" xr:uid="{00000000-0009-0000-0100-000008000000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  <filterColumn colId="13" hiddenButton="1"/>
  </autoFilter>
  <tableColumns count="14">
    <tableColumn id="1" xr3:uid="{00000000-0010-0000-0700-000001000000}" name="직원 비용" totalsRowLabel="소계" dataDxfId="244" totalsRowDxfId="243"/>
    <tableColumn id="2" xr3:uid="{00000000-0010-0000-0700-000002000000}" name="1월" totalsRowFunction="sum" dataDxfId="242" totalsRowDxfId="241">
      <calculatedColumnFormula>C5*0.27</calculatedColumnFormula>
    </tableColumn>
    <tableColumn id="3" xr3:uid="{00000000-0010-0000-0700-000003000000}" name="2월" totalsRowFunction="sum" dataDxfId="240" totalsRowDxfId="239">
      <calculatedColumnFormula>D5*0.27</calculatedColumnFormula>
    </tableColumn>
    <tableColumn id="4" xr3:uid="{00000000-0010-0000-0700-000004000000}" name="3월" totalsRowFunction="sum" dataDxfId="238" totalsRowDxfId="237">
      <calculatedColumnFormula>E5*0.27</calculatedColumnFormula>
    </tableColumn>
    <tableColumn id="5" xr3:uid="{00000000-0010-0000-0700-000005000000}" name="4월" totalsRowFunction="sum" dataDxfId="236" totalsRowDxfId="235">
      <calculatedColumnFormula>F5*0.27</calculatedColumnFormula>
    </tableColumn>
    <tableColumn id="6" xr3:uid="{00000000-0010-0000-0700-000006000000}" name="5월" totalsRowFunction="sum" dataDxfId="234" totalsRowDxfId="233">
      <calculatedColumnFormula>G5*0.27</calculatedColumnFormula>
    </tableColumn>
    <tableColumn id="7" xr3:uid="{00000000-0010-0000-0700-000007000000}" name="6월" totalsRowFunction="sum" dataDxfId="232" totalsRowDxfId="231">
      <calculatedColumnFormula>H5*0.27</calculatedColumnFormula>
    </tableColumn>
    <tableColumn id="8" xr3:uid="{00000000-0010-0000-0700-000008000000}" name="7월" totalsRowFunction="sum" dataDxfId="230" totalsRowDxfId="229"/>
    <tableColumn id="9" xr3:uid="{00000000-0010-0000-0700-000009000000}" name="8월" totalsRowFunction="sum" dataDxfId="228" totalsRowDxfId="227"/>
    <tableColumn id="10" xr3:uid="{00000000-0010-0000-0700-00000A000000}" name="9월" totalsRowFunction="sum" dataDxfId="226" totalsRowDxfId="225"/>
    <tableColumn id="11" xr3:uid="{00000000-0010-0000-0700-00000B000000}" name="10월" totalsRowFunction="sum" dataDxfId="224" totalsRowDxfId="223"/>
    <tableColumn id="12" xr3:uid="{00000000-0010-0000-0700-00000C000000}" name="11월" totalsRowFunction="sum" dataDxfId="222" totalsRowDxfId="221"/>
    <tableColumn id="13" xr3:uid="{00000000-0010-0000-0700-00000D000000}" name="12월" totalsRowFunction="sum" dataDxfId="220" totalsRowDxfId="219"/>
    <tableColumn id="14" xr3:uid="{00000000-0010-0000-0700-00000E000000}" name="연도" totalsRowFunction="sum" dataDxfId="218" totalsRowDxfId="217">
      <calculatedColumnFormula>SUM(C6:N6)</calculatedColumnFormula>
    </tableColumn>
  </tableColumns>
  <tableStyleInfo name="TableStyleMedium1" showFirstColumn="1" showLastColumn="1" showRowStripes="0" showColumnStripes="0"/>
  <extLst>
    <ext xmlns:x14="http://schemas.microsoft.com/office/spreadsheetml/2009/9/main" uri="{504A1905-F514-4f6f-8877-14C23A59335A}">
      <x14:table altTextSummary="이 표에 실제 월별 직원 비용을 입력합니다. 합계는 마지막에 자동으로 계산됩니다"/>
    </ext>
  </extLst>
</table>
</file>

<file path=xl/theme/theme1.xml><?xml version="1.0" encoding="utf-8"?>
<a:theme xmlns:a="http://schemas.openxmlformats.org/drawingml/2006/main" name="Office Theme">
  <a:themeElements>
    <a:clrScheme name="Custom 25">
      <a:dk1>
        <a:sysClr val="windowText" lastClr="000000"/>
      </a:dk1>
      <a:lt1>
        <a:srgbClr val="FFFFFF"/>
      </a:lt1>
      <a:dk2>
        <a:srgbClr val="2F4B83"/>
      </a:dk2>
      <a:lt2>
        <a:srgbClr val="F2F2F2"/>
      </a:lt2>
      <a:accent1>
        <a:srgbClr val="CC1D10"/>
      </a:accent1>
      <a:accent2>
        <a:srgbClr val="357B37"/>
      </a:accent2>
      <a:accent3>
        <a:srgbClr val="34A0DC"/>
      </a:accent3>
      <a:accent4>
        <a:srgbClr val="B71F66"/>
      </a:accent4>
      <a:accent5>
        <a:srgbClr val="255D77"/>
      </a:accent5>
      <a:accent6>
        <a:srgbClr val="EF4538"/>
      </a:accent6>
      <a:hlink>
        <a:srgbClr val="7DC6F3"/>
      </a:hlink>
      <a:folHlink>
        <a:srgbClr val="7DC6F3"/>
      </a:folHlink>
    </a:clrScheme>
    <a:fontScheme name="Custom 18">
      <a:majorFont>
        <a:latin typeface="Franklin Gothic Book"/>
        <a:ea typeface=""/>
        <a:cs typeface=""/>
      </a:majorFont>
      <a:minorFont>
        <a:latin typeface="Microsoft Sans Serif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7" Type="http://schemas.openxmlformats.org/officeDocument/2006/relationships/table" Target="../tables/table5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table" Target="../tables/table4.xml"/><Relationship Id="rId5" Type="http://schemas.openxmlformats.org/officeDocument/2006/relationships/table" Target="../tables/table3.xml"/><Relationship Id="rId4" Type="http://schemas.openxmlformats.org/officeDocument/2006/relationships/table" Target="../tables/table2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7" Type="http://schemas.openxmlformats.org/officeDocument/2006/relationships/table" Target="../tables/table10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6" Type="http://schemas.openxmlformats.org/officeDocument/2006/relationships/table" Target="../tables/table9.xml"/><Relationship Id="rId5" Type="http://schemas.openxmlformats.org/officeDocument/2006/relationships/table" Target="../tables/table8.xml"/><Relationship Id="rId4" Type="http://schemas.openxmlformats.org/officeDocument/2006/relationships/table" Target="../tables/table7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1.xml"/><Relationship Id="rId7" Type="http://schemas.openxmlformats.org/officeDocument/2006/relationships/table" Target="../tables/table15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6" Type="http://schemas.openxmlformats.org/officeDocument/2006/relationships/table" Target="../tables/table14.xml"/><Relationship Id="rId5" Type="http://schemas.openxmlformats.org/officeDocument/2006/relationships/table" Target="../tables/table13.xml"/><Relationship Id="rId4" Type="http://schemas.openxmlformats.org/officeDocument/2006/relationships/table" Target="../tables/table12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6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">
    <tabColor theme="5"/>
    <pageSetUpPr autoPageBreaks="0"/>
  </sheetPr>
  <dimension ref="A1:T38"/>
  <sheetViews>
    <sheetView showGridLines="0" tabSelected="1" zoomScaleNormal="100" workbookViewId="0">
      <selection activeCell="B2" sqref="B2"/>
    </sheetView>
  </sheetViews>
  <sheetFormatPr defaultColWidth="9.125" defaultRowHeight="21" customHeight="1"/>
  <cols>
    <col min="1" max="1" width="4.75" style="79" customWidth="1"/>
    <col min="2" max="2" width="33.375" style="79" customWidth="1"/>
    <col min="3" max="14" width="15.875" style="79" customWidth="1"/>
    <col min="15" max="15" width="16.25" style="79" customWidth="1"/>
    <col min="16" max="16" width="4.75" style="79" customWidth="1"/>
    <col min="17" max="17" width="1.75" style="79" customWidth="1"/>
    <col min="18" max="19" width="9.125" style="79"/>
    <col min="20" max="20" width="11.125" style="79" customWidth="1"/>
    <col min="21" max="16384" width="9.125" style="79"/>
  </cols>
  <sheetData>
    <row r="1" spans="1:20" ht="24" customHeight="1">
      <c r="A1" s="75"/>
      <c r="B1" s="76"/>
      <c r="C1" s="76"/>
      <c r="D1" s="76"/>
      <c r="E1" s="76"/>
      <c r="F1" s="77"/>
      <c r="G1" s="77"/>
      <c r="H1" s="77"/>
      <c r="I1" s="77"/>
      <c r="J1" s="77"/>
      <c r="K1" s="77"/>
      <c r="L1" s="77"/>
      <c r="M1" s="77"/>
      <c r="N1" s="77"/>
      <c r="O1" s="77"/>
      <c r="P1" s="78" t="s">
        <v>42</v>
      </c>
    </row>
    <row r="2" spans="1:20" ht="45" customHeight="1">
      <c r="A2" s="80"/>
      <c r="B2" s="81" t="s">
        <v>51</v>
      </c>
      <c r="C2" s="81"/>
      <c r="D2" s="81"/>
      <c r="E2" s="82"/>
      <c r="F2" s="83"/>
      <c r="G2" s="83"/>
      <c r="H2" s="83"/>
      <c r="I2" s="83"/>
      <c r="J2" s="83"/>
      <c r="K2" s="166" t="s">
        <v>35</v>
      </c>
      <c r="L2" s="166"/>
      <c r="M2" s="166"/>
      <c r="N2" s="84"/>
      <c r="O2" s="84"/>
      <c r="P2" s="77"/>
    </row>
    <row r="3" spans="1:20" ht="30" customHeight="1">
      <c r="A3" s="80"/>
      <c r="B3" s="81"/>
      <c r="C3" s="81"/>
      <c r="D3" s="81"/>
      <c r="E3" s="85"/>
      <c r="F3" s="86"/>
      <c r="G3" s="86"/>
      <c r="H3" s="86"/>
      <c r="I3" s="86"/>
      <c r="J3" s="86"/>
      <c r="K3" s="167" t="s">
        <v>36</v>
      </c>
      <c r="L3" s="167"/>
      <c r="M3" s="167"/>
      <c r="N3" s="84"/>
      <c r="O3" s="84"/>
      <c r="P3" s="77"/>
    </row>
    <row r="4" spans="1:20" s="91" customFormat="1" ht="49.5" customHeight="1">
      <c r="A4" s="87"/>
      <c r="B4" s="88" t="s">
        <v>0</v>
      </c>
      <c r="C4" s="89" t="s">
        <v>27</v>
      </c>
      <c r="D4" s="89" t="s">
        <v>28</v>
      </c>
      <c r="E4" s="90" t="s">
        <v>29</v>
      </c>
      <c r="F4" s="89" t="s">
        <v>30</v>
      </c>
      <c r="G4" s="89" t="s">
        <v>31</v>
      </c>
      <c r="H4" s="89" t="s">
        <v>32</v>
      </c>
      <c r="I4" s="90" t="s">
        <v>33</v>
      </c>
      <c r="J4" s="89" t="s">
        <v>34</v>
      </c>
      <c r="K4" s="89" t="s">
        <v>37</v>
      </c>
      <c r="L4" s="89" t="s">
        <v>38</v>
      </c>
      <c r="M4" s="89" t="s">
        <v>39</v>
      </c>
      <c r="N4" s="90" t="s">
        <v>40</v>
      </c>
      <c r="O4" s="89" t="s">
        <v>41</v>
      </c>
      <c r="R4" s="164"/>
      <c r="S4" s="165"/>
      <c r="T4" s="165"/>
    </row>
    <row r="5" spans="1:20" ht="24.9" customHeight="1" thickBot="1">
      <c r="A5" s="87"/>
      <c r="B5" s="92" t="s">
        <v>1</v>
      </c>
      <c r="C5" s="134" t="s">
        <v>27</v>
      </c>
      <c r="D5" s="135" t="s">
        <v>28</v>
      </c>
      <c r="E5" s="136" t="s">
        <v>29</v>
      </c>
      <c r="F5" s="135" t="s">
        <v>30</v>
      </c>
      <c r="G5" s="135" t="s">
        <v>31</v>
      </c>
      <c r="H5" s="135" t="s">
        <v>32</v>
      </c>
      <c r="I5" s="135" t="s">
        <v>33</v>
      </c>
      <c r="J5" s="135" t="s">
        <v>34</v>
      </c>
      <c r="K5" s="135" t="s">
        <v>37</v>
      </c>
      <c r="L5" s="135" t="s">
        <v>38</v>
      </c>
      <c r="M5" s="135" t="s">
        <v>39</v>
      </c>
      <c r="N5" s="135" t="s">
        <v>40</v>
      </c>
      <c r="O5" s="137" t="s">
        <v>41</v>
      </c>
      <c r="R5" s="165"/>
      <c r="S5" s="165"/>
      <c r="T5" s="165"/>
    </row>
    <row r="6" spans="1:20" ht="24.9" customHeight="1" thickBot="1">
      <c r="A6" s="87"/>
      <c r="B6" s="98" t="s">
        <v>2</v>
      </c>
      <c r="C6" s="138">
        <v>85000</v>
      </c>
      <c r="D6" s="139">
        <v>85000</v>
      </c>
      <c r="E6" s="139">
        <v>85000</v>
      </c>
      <c r="F6" s="139">
        <v>87500</v>
      </c>
      <c r="G6" s="139">
        <v>87500</v>
      </c>
      <c r="H6" s="139">
        <v>87500</v>
      </c>
      <c r="I6" s="139">
        <v>87500</v>
      </c>
      <c r="J6" s="139">
        <v>92400</v>
      </c>
      <c r="K6" s="139">
        <v>92400</v>
      </c>
      <c r="L6" s="139">
        <v>92400</v>
      </c>
      <c r="M6" s="139">
        <v>92400</v>
      </c>
      <c r="N6" s="139">
        <v>92400</v>
      </c>
      <c r="O6" s="140">
        <f>SUM(C6:N6)</f>
        <v>1067000</v>
      </c>
      <c r="R6" s="165"/>
      <c r="S6" s="165"/>
      <c r="T6" s="165"/>
    </row>
    <row r="7" spans="1:20" ht="24.9" customHeight="1" thickBot="1">
      <c r="A7" s="87"/>
      <c r="B7" s="98" t="s">
        <v>3</v>
      </c>
      <c r="C7" s="138">
        <f t="shared" ref="C7:N7" si="0">C6*0.27</f>
        <v>22950</v>
      </c>
      <c r="D7" s="139">
        <f t="shared" si="0"/>
        <v>22950</v>
      </c>
      <c r="E7" s="139">
        <f t="shared" si="0"/>
        <v>22950</v>
      </c>
      <c r="F7" s="139">
        <f t="shared" si="0"/>
        <v>23625</v>
      </c>
      <c r="G7" s="139">
        <f t="shared" si="0"/>
        <v>23625</v>
      </c>
      <c r="H7" s="139">
        <f t="shared" si="0"/>
        <v>23625</v>
      </c>
      <c r="I7" s="139">
        <f t="shared" si="0"/>
        <v>23625</v>
      </c>
      <c r="J7" s="139">
        <f t="shared" si="0"/>
        <v>24948</v>
      </c>
      <c r="K7" s="139">
        <f t="shared" si="0"/>
        <v>24948</v>
      </c>
      <c r="L7" s="139">
        <f t="shared" si="0"/>
        <v>24948</v>
      </c>
      <c r="M7" s="139">
        <f t="shared" si="0"/>
        <v>24948</v>
      </c>
      <c r="N7" s="139">
        <f t="shared" si="0"/>
        <v>24948</v>
      </c>
      <c r="O7" s="140">
        <f>SUM(C7:N7)</f>
        <v>288090</v>
      </c>
      <c r="R7" s="165"/>
      <c r="S7" s="165"/>
      <c r="T7" s="165"/>
    </row>
    <row r="8" spans="1:20" ht="24.9" customHeight="1">
      <c r="A8" s="87"/>
      <c r="B8" s="141" t="s">
        <v>4</v>
      </c>
      <c r="C8" s="142">
        <f>SUBTOTAL(109,직원계획[1월])</f>
        <v>107950</v>
      </c>
      <c r="D8" s="143">
        <f>SUBTOTAL(109,직원계획[2월])</f>
        <v>107950</v>
      </c>
      <c r="E8" s="143">
        <f>SUBTOTAL(109,직원계획[3월])</f>
        <v>107950</v>
      </c>
      <c r="F8" s="143">
        <f>SUBTOTAL(109,직원계획[4월])</f>
        <v>111125</v>
      </c>
      <c r="G8" s="143">
        <f>SUBTOTAL(109,직원계획[5월])</f>
        <v>111125</v>
      </c>
      <c r="H8" s="143">
        <f>SUBTOTAL(109,직원계획[6월])</f>
        <v>111125</v>
      </c>
      <c r="I8" s="143">
        <f>SUBTOTAL(109,직원계획[7월])</f>
        <v>111125</v>
      </c>
      <c r="J8" s="143">
        <f>SUBTOTAL(109,직원계획[8월])</f>
        <v>117348</v>
      </c>
      <c r="K8" s="143">
        <f>SUBTOTAL(109,직원계획[9월])</f>
        <v>117348</v>
      </c>
      <c r="L8" s="143">
        <f>SUBTOTAL(109,직원계획[10월])</f>
        <v>117348</v>
      </c>
      <c r="M8" s="143">
        <f>SUBTOTAL(109,직원계획[11월])</f>
        <v>117348</v>
      </c>
      <c r="N8" s="143">
        <f>SUBTOTAL(109,직원계획[12월])</f>
        <v>117348</v>
      </c>
      <c r="O8" s="144">
        <f>SUBTOTAL(109,직원계획[연도])</f>
        <v>1355090</v>
      </c>
      <c r="R8" s="165"/>
      <c r="S8" s="165"/>
      <c r="T8" s="165"/>
    </row>
    <row r="9" spans="1:20" ht="21" customHeight="1" thickBot="1">
      <c r="A9" s="87"/>
      <c r="B9" s="106"/>
      <c r="C9" s="106"/>
      <c r="D9" s="107"/>
      <c r="E9" s="107"/>
      <c r="F9" s="107"/>
      <c r="G9" s="107"/>
      <c r="H9" s="107"/>
      <c r="I9" s="107"/>
      <c r="J9" s="107"/>
      <c r="K9" s="107"/>
      <c r="L9" s="107"/>
      <c r="M9" s="107"/>
      <c r="N9" s="107"/>
      <c r="O9" s="108"/>
      <c r="R9" s="165"/>
      <c r="S9" s="165"/>
      <c r="T9" s="165"/>
    </row>
    <row r="10" spans="1:20" ht="24.9" customHeight="1" thickBot="1">
      <c r="A10" s="87"/>
      <c r="B10" s="145" t="s">
        <v>5</v>
      </c>
      <c r="C10" s="146" t="s">
        <v>27</v>
      </c>
      <c r="D10" s="147" t="s">
        <v>28</v>
      </c>
      <c r="E10" s="148" t="s">
        <v>29</v>
      </c>
      <c r="F10" s="147" t="s">
        <v>30</v>
      </c>
      <c r="G10" s="147" t="s">
        <v>31</v>
      </c>
      <c r="H10" s="147" t="s">
        <v>32</v>
      </c>
      <c r="I10" s="147" t="s">
        <v>33</v>
      </c>
      <c r="J10" s="147" t="s">
        <v>34</v>
      </c>
      <c r="K10" s="147" t="s">
        <v>37</v>
      </c>
      <c r="L10" s="147" t="s">
        <v>38</v>
      </c>
      <c r="M10" s="147" t="s">
        <v>39</v>
      </c>
      <c r="N10" s="147" t="s">
        <v>40</v>
      </c>
      <c r="O10" s="149" t="s">
        <v>41</v>
      </c>
      <c r="R10" s="165"/>
      <c r="S10" s="165"/>
      <c r="T10" s="165"/>
    </row>
    <row r="11" spans="1:20" ht="24.9" customHeight="1" thickBot="1">
      <c r="A11" s="87"/>
      <c r="B11" s="150" t="s">
        <v>6</v>
      </c>
      <c r="C11" s="138">
        <v>9800</v>
      </c>
      <c r="D11" s="139">
        <v>9800</v>
      </c>
      <c r="E11" s="139">
        <v>9800</v>
      </c>
      <c r="F11" s="139">
        <v>9800</v>
      </c>
      <c r="G11" s="139">
        <v>9800</v>
      </c>
      <c r="H11" s="139">
        <v>9800</v>
      </c>
      <c r="I11" s="139">
        <v>9800</v>
      </c>
      <c r="J11" s="139">
        <v>9800</v>
      </c>
      <c r="K11" s="139">
        <v>9800</v>
      </c>
      <c r="L11" s="139">
        <v>9800</v>
      </c>
      <c r="M11" s="139">
        <v>9800</v>
      </c>
      <c r="N11" s="139">
        <v>9800</v>
      </c>
      <c r="O11" s="140">
        <f t="shared" ref="O11:O18" si="1">SUM(C11:N11)</f>
        <v>117600</v>
      </c>
      <c r="R11" s="165"/>
      <c r="S11" s="165"/>
      <c r="T11" s="165"/>
    </row>
    <row r="12" spans="1:20" ht="24.9" customHeight="1" thickBot="1">
      <c r="A12" s="87"/>
      <c r="B12" s="150" t="s">
        <v>7</v>
      </c>
      <c r="C12" s="138"/>
      <c r="D12" s="139">
        <v>400</v>
      </c>
      <c r="E12" s="139">
        <v>400</v>
      </c>
      <c r="F12" s="139">
        <v>100</v>
      </c>
      <c r="G12" s="139">
        <v>100</v>
      </c>
      <c r="H12" s="139">
        <v>100</v>
      </c>
      <c r="I12" s="139">
        <v>100</v>
      </c>
      <c r="J12" s="139">
        <v>100</v>
      </c>
      <c r="K12" s="139">
        <v>100</v>
      </c>
      <c r="L12" s="139">
        <v>100</v>
      </c>
      <c r="M12" s="139">
        <v>400</v>
      </c>
      <c r="N12" s="139">
        <v>400</v>
      </c>
      <c r="O12" s="140">
        <f t="shared" si="1"/>
        <v>2300</v>
      </c>
      <c r="R12" s="165"/>
      <c r="S12" s="165"/>
      <c r="T12" s="165"/>
    </row>
    <row r="13" spans="1:20" ht="24.9" customHeight="1" thickBot="1">
      <c r="A13" s="87"/>
      <c r="B13" s="150" t="s">
        <v>8</v>
      </c>
      <c r="C13" s="138">
        <v>300</v>
      </c>
      <c r="D13" s="139">
        <v>300</v>
      </c>
      <c r="E13" s="139">
        <v>300</v>
      </c>
      <c r="F13" s="139">
        <v>300</v>
      </c>
      <c r="G13" s="139">
        <v>300</v>
      </c>
      <c r="H13" s="139">
        <v>300</v>
      </c>
      <c r="I13" s="139">
        <v>300</v>
      </c>
      <c r="J13" s="139">
        <v>300</v>
      </c>
      <c r="K13" s="139">
        <v>300</v>
      </c>
      <c r="L13" s="139">
        <v>300</v>
      </c>
      <c r="M13" s="139">
        <v>300</v>
      </c>
      <c r="N13" s="139">
        <v>300</v>
      </c>
      <c r="O13" s="140">
        <f t="shared" si="1"/>
        <v>3600</v>
      </c>
      <c r="R13" s="165"/>
      <c r="S13" s="165"/>
      <c r="T13" s="165"/>
    </row>
    <row r="14" spans="1:20" ht="24.9" customHeight="1" thickBot="1">
      <c r="A14" s="87"/>
      <c r="B14" s="150" t="s">
        <v>9</v>
      </c>
      <c r="C14" s="138">
        <v>40</v>
      </c>
      <c r="D14" s="139">
        <v>40</v>
      </c>
      <c r="E14" s="139">
        <v>40</v>
      </c>
      <c r="F14" s="139">
        <v>40</v>
      </c>
      <c r="G14" s="139">
        <v>40</v>
      </c>
      <c r="H14" s="139">
        <v>40</v>
      </c>
      <c r="I14" s="139">
        <v>40</v>
      </c>
      <c r="J14" s="139">
        <v>40</v>
      </c>
      <c r="K14" s="139">
        <v>40</v>
      </c>
      <c r="L14" s="139">
        <v>40</v>
      </c>
      <c r="M14" s="139">
        <v>40</v>
      </c>
      <c r="N14" s="139">
        <v>40</v>
      </c>
      <c r="O14" s="140">
        <f t="shared" si="1"/>
        <v>480</v>
      </c>
    </row>
    <row r="15" spans="1:20" ht="24.9" customHeight="1" thickBot="1">
      <c r="A15" s="87"/>
      <c r="B15" s="150" t="s">
        <v>10</v>
      </c>
      <c r="C15" s="138">
        <v>250</v>
      </c>
      <c r="D15" s="139">
        <v>250</v>
      </c>
      <c r="E15" s="139">
        <v>250</v>
      </c>
      <c r="F15" s="139">
        <v>250</v>
      </c>
      <c r="G15" s="139">
        <v>250</v>
      </c>
      <c r="H15" s="139">
        <v>250</v>
      </c>
      <c r="I15" s="139">
        <v>250</v>
      </c>
      <c r="J15" s="139">
        <v>250</v>
      </c>
      <c r="K15" s="139">
        <v>250</v>
      </c>
      <c r="L15" s="139">
        <v>250</v>
      </c>
      <c r="M15" s="139">
        <v>250</v>
      </c>
      <c r="N15" s="139">
        <v>250</v>
      </c>
      <c r="O15" s="140">
        <f t="shared" si="1"/>
        <v>3000</v>
      </c>
    </row>
    <row r="16" spans="1:20" ht="24.9" customHeight="1" thickBot="1">
      <c r="A16" s="87"/>
      <c r="B16" s="150" t="s">
        <v>11</v>
      </c>
      <c r="C16" s="138">
        <v>180</v>
      </c>
      <c r="D16" s="139">
        <v>180</v>
      </c>
      <c r="E16" s="139">
        <v>180</v>
      </c>
      <c r="F16" s="139">
        <v>180</v>
      </c>
      <c r="G16" s="139">
        <v>180</v>
      </c>
      <c r="H16" s="139">
        <v>180</v>
      </c>
      <c r="I16" s="139">
        <v>180</v>
      </c>
      <c r="J16" s="139">
        <v>180</v>
      </c>
      <c r="K16" s="139">
        <v>180</v>
      </c>
      <c r="L16" s="139">
        <v>180</v>
      </c>
      <c r="M16" s="139">
        <v>180</v>
      </c>
      <c r="N16" s="139">
        <v>180</v>
      </c>
      <c r="O16" s="140">
        <f t="shared" si="1"/>
        <v>2160</v>
      </c>
    </row>
    <row r="17" spans="1:15" ht="24.9" customHeight="1" thickBot="1">
      <c r="A17" s="87"/>
      <c r="B17" s="150" t="s">
        <v>12</v>
      </c>
      <c r="C17" s="138">
        <v>200</v>
      </c>
      <c r="D17" s="139">
        <v>200</v>
      </c>
      <c r="E17" s="139">
        <v>200</v>
      </c>
      <c r="F17" s="139">
        <v>200</v>
      </c>
      <c r="G17" s="139">
        <v>200</v>
      </c>
      <c r="H17" s="139">
        <v>200</v>
      </c>
      <c r="I17" s="139">
        <v>200</v>
      </c>
      <c r="J17" s="139">
        <v>200</v>
      </c>
      <c r="K17" s="139">
        <v>200</v>
      </c>
      <c r="L17" s="139">
        <v>200</v>
      </c>
      <c r="M17" s="139">
        <v>200</v>
      </c>
      <c r="N17" s="139">
        <v>200</v>
      </c>
      <c r="O17" s="140">
        <f t="shared" si="1"/>
        <v>2400</v>
      </c>
    </row>
    <row r="18" spans="1:15" ht="24.9" customHeight="1" thickBot="1">
      <c r="A18" s="87"/>
      <c r="B18" s="150" t="s">
        <v>13</v>
      </c>
      <c r="C18" s="138">
        <v>600</v>
      </c>
      <c r="D18" s="139">
        <v>600</v>
      </c>
      <c r="E18" s="139">
        <v>600</v>
      </c>
      <c r="F18" s="139">
        <v>600</v>
      </c>
      <c r="G18" s="139">
        <v>600</v>
      </c>
      <c r="H18" s="139">
        <v>600</v>
      </c>
      <c r="I18" s="139">
        <v>600</v>
      </c>
      <c r="J18" s="139">
        <v>600</v>
      </c>
      <c r="K18" s="139">
        <v>600</v>
      </c>
      <c r="L18" s="139">
        <v>600</v>
      </c>
      <c r="M18" s="139">
        <v>600</v>
      </c>
      <c r="N18" s="139">
        <v>600</v>
      </c>
      <c r="O18" s="140">
        <f t="shared" si="1"/>
        <v>7200</v>
      </c>
    </row>
    <row r="19" spans="1:15" ht="24.9" customHeight="1" thickBot="1">
      <c r="A19" s="87"/>
      <c r="B19" s="151" t="s">
        <v>4</v>
      </c>
      <c r="C19" s="152">
        <f>SUBTOTAL(109,사무실계획[1월])</f>
        <v>11370</v>
      </c>
      <c r="D19" s="153">
        <f>SUBTOTAL(109,사무실계획[2월])</f>
        <v>11770</v>
      </c>
      <c r="E19" s="153">
        <f>SUBTOTAL(109,사무실계획[3월])</f>
        <v>11770</v>
      </c>
      <c r="F19" s="153">
        <f>SUBTOTAL(109,사무실계획[4월])</f>
        <v>11470</v>
      </c>
      <c r="G19" s="153">
        <f>SUBTOTAL(109,사무실계획[5월])</f>
        <v>11470</v>
      </c>
      <c r="H19" s="153">
        <f>SUBTOTAL(109,사무실계획[6월])</f>
        <v>11470</v>
      </c>
      <c r="I19" s="153">
        <f>SUBTOTAL(109,사무실계획[7월])</f>
        <v>11470</v>
      </c>
      <c r="J19" s="153">
        <f>SUBTOTAL(109,사무실계획[8월])</f>
        <v>11470</v>
      </c>
      <c r="K19" s="153">
        <f>SUBTOTAL(109,사무실계획[9월])</f>
        <v>11470</v>
      </c>
      <c r="L19" s="153">
        <f>SUBTOTAL(109,사무실계획[10월])</f>
        <v>11470</v>
      </c>
      <c r="M19" s="153">
        <f>SUBTOTAL(109,사무실계획[11월])</f>
        <v>11770</v>
      </c>
      <c r="N19" s="153">
        <f>SUBTOTAL(109,사무실계획[12월])</f>
        <v>11770</v>
      </c>
      <c r="O19" s="154">
        <f>SUBTOTAL(109,사무실계획[연도])</f>
        <v>138740</v>
      </c>
    </row>
    <row r="20" spans="1:15" ht="21" customHeight="1">
      <c r="A20" s="87"/>
      <c r="B20" s="113"/>
      <c r="C20" s="113"/>
      <c r="D20" s="107"/>
      <c r="E20" s="107"/>
      <c r="F20" s="114"/>
      <c r="G20" s="114"/>
      <c r="H20" s="114"/>
      <c r="I20" s="114"/>
      <c r="J20" s="114"/>
      <c r="K20" s="114"/>
      <c r="L20" s="114"/>
      <c r="M20" s="114"/>
      <c r="N20" s="114"/>
      <c r="O20" s="108"/>
    </row>
    <row r="21" spans="1:15" ht="24.9" customHeight="1" thickBot="1">
      <c r="A21" s="87"/>
      <c r="B21" s="155" t="s">
        <v>14</v>
      </c>
      <c r="C21" s="94" t="s">
        <v>27</v>
      </c>
      <c r="D21" s="94" t="s">
        <v>28</v>
      </c>
      <c r="E21" s="95" t="s">
        <v>29</v>
      </c>
      <c r="F21" s="94" t="s">
        <v>30</v>
      </c>
      <c r="G21" s="94" t="s">
        <v>31</v>
      </c>
      <c r="H21" s="94" t="s">
        <v>32</v>
      </c>
      <c r="I21" s="94" t="s">
        <v>33</v>
      </c>
      <c r="J21" s="94" t="s">
        <v>34</v>
      </c>
      <c r="K21" s="94" t="s">
        <v>37</v>
      </c>
      <c r="L21" s="94" t="s">
        <v>38</v>
      </c>
      <c r="M21" s="94" t="s">
        <v>39</v>
      </c>
      <c r="N21" s="94" t="s">
        <v>40</v>
      </c>
      <c r="O21" s="96" t="s">
        <v>41</v>
      </c>
    </row>
    <row r="22" spans="1:15" ht="24.9" customHeight="1" thickBot="1">
      <c r="A22" s="87"/>
      <c r="B22" s="98" t="s">
        <v>15</v>
      </c>
      <c r="C22" s="99">
        <v>500</v>
      </c>
      <c r="D22" s="100">
        <v>500</v>
      </c>
      <c r="E22" s="100">
        <v>500</v>
      </c>
      <c r="F22" s="100">
        <v>500</v>
      </c>
      <c r="G22" s="100">
        <v>500</v>
      </c>
      <c r="H22" s="100">
        <v>500</v>
      </c>
      <c r="I22" s="100">
        <v>500</v>
      </c>
      <c r="J22" s="100">
        <v>500</v>
      </c>
      <c r="K22" s="100">
        <v>500</v>
      </c>
      <c r="L22" s="100">
        <v>500</v>
      </c>
      <c r="M22" s="100">
        <v>500</v>
      </c>
      <c r="N22" s="100">
        <v>500</v>
      </c>
      <c r="O22" s="140">
        <f t="shared" ref="O22:O27" si="2">SUM(C22:N22)</f>
        <v>6000</v>
      </c>
    </row>
    <row r="23" spans="1:15" ht="24.9" customHeight="1" thickBot="1">
      <c r="A23" s="87"/>
      <c r="B23" s="98" t="s">
        <v>16</v>
      </c>
      <c r="C23" s="99">
        <v>200</v>
      </c>
      <c r="D23" s="100">
        <v>200</v>
      </c>
      <c r="E23" s="100">
        <v>200</v>
      </c>
      <c r="F23" s="100">
        <v>200</v>
      </c>
      <c r="G23" s="100">
        <v>200</v>
      </c>
      <c r="H23" s="100">
        <v>1000</v>
      </c>
      <c r="I23" s="100">
        <v>200</v>
      </c>
      <c r="J23" s="100">
        <v>200</v>
      </c>
      <c r="K23" s="100">
        <v>200</v>
      </c>
      <c r="L23" s="100">
        <v>200</v>
      </c>
      <c r="M23" s="100">
        <v>200</v>
      </c>
      <c r="N23" s="100">
        <v>1000</v>
      </c>
      <c r="O23" s="140">
        <f t="shared" si="2"/>
        <v>4000</v>
      </c>
    </row>
    <row r="24" spans="1:15" ht="24.9" customHeight="1" thickBot="1">
      <c r="A24" s="87"/>
      <c r="B24" s="98" t="s">
        <v>17</v>
      </c>
      <c r="C24" s="99">
        <v>5000</v>
      </c>
      <c r="D24" s="100">
        <v>0</v>
      </c>
      <c r="E24" s="100">
        <v>0</v>
      </c>
      <c r="F24" s="100">
        <v>5000</v>
      </c>
      <c r="G24" s="100">
        <v>0</v>
      </c>
      <c r="H24" s="100">
        <v>0</v>
      </c>
      <c r="I24" s="100">
        <v>5000</v>
      </c>
      <c r="J24" s="100">
        <v>0</v>
      </c>
      <c r="K24" s="100">
        <v>0</v>
      </c>
      <c r="L24" s="100">
        <v>5000</v>
      </c>
      <c r="M24" s="100">
        <v>0</v>
      </c>
      <c r="N24" s="100">
        <v>0</v>
      </c>
      <c r="O24" s="140">
        <f t="shared" si="2"/>
        <v>20000</v>
      </c>
    </row>
    <row r="25" spans="1:15" ht="24.9" customHeight="1" thickBot="1">
      <c r="A25" s="87"/>
      <c r="B25" s="98" t="s">
        <v>18</v>
      </c>
      <c r="C25" s="99">
        <v>200</v>
      </c>
      <c r="D25" s="100">
        <v>200</v>
      </c>
      <c r="E25" s="100">
        <v>200</v>
      </c>
      <c r="F25" s="100">
        <v>200</v>
      </c>
      <c r="G25" s="100">
        <v>200</v>
      </c>
      <c r="H25" s="100">
        <v>200</v>
      </c>
      <c r="I25" s="100">
        <v>200</v>
      </c>
      <c r="J25" s="100">
        <v>200</v>
      </c>
      <c r="K25" s="100">
        <v>200</v>
      </c>
      <c r="L25" s="100">
        <v>200</v>
      </c>
      <c r="M25" s="100">
        <v>200</v>
      </c>
      <c r="N25" s="100">
        <v>200</v>
      </c>
      <c r="O25" s="140">
        <f t="shared" si="2"/>
        <v>2400</v>
      </c>
    </row>
    <row r="26" spans="1:15" ht="24.9" customHeight="1" thickBot="1">
      <c r="A26" s="87"/>
      <c r="B26" s="98" t="s">
        <v>19</v>
      </c>
      <c r="C26" s="99">
        <v>2000</v>
      </c>
      <c r="D26" s="100">
        <v>2000</v>
      </c>
      <c r="E26" s="100">
        <v>2000</v>
      </c>
      <c r="F26" s="100">
        <v>5000</v>
      </c>
      <c r="G26" s="100">
        <v>2000</v>
      </c>
      <c r="H26" s="100">
        <v>2000</v>
      </c>
      <c r="I26" s="100">
        <v>2000</v>
      </c>
      <c r="J26" s="100">
        <v>5000</v>
      </c>
      <c r="K26" s="100">
        <v>2000</v>
      </c>
      <c r="L26" s="100">
        <v>2000</v>
      </c>
      <c r="M26" s="100">
        <v>2000</v>
      </c>
      <c r="N26" s="100">
        <v>5000</v>
      </c>
      <c r="O26" s="140">
        <f t="shared" si="2"/>
        <v>33000</v>
      </c>
    </row>
    <row r="27" spans="1:15" ht="24.9" customHeight="1" thickBot="1">
      <c r="A27" s="87"/>
      <c r="B27" s="98" t="s">
        <v>20</v>
      </c>
      <c r="C27" s="99">
        <v>200</v>
      </c>
      <c r="D27" s="100">
        <v>200</v>
      </c>
      <c r="E27" s="100">
        <v>200</v>
      </c>
      <c r="F27" s="100">
        <v>200</v>
      </c>
      <c r="G27" s="100">
        <v>200</v>
      </c>
      <c r="H27" s="100">
        <v>200</v>
      </c>
      <c r="I27" s="100">
        <v>200</v>
      </c>
      <c r="J27" s="100">
        <v>200</v>
      </c>
      <c r="K27" s="100">
        <v>200</v>
      </c>
      <c r="L27" s="100">
        <v>200</v>
      </c>
      <c r="M27" s="100">
        <v>200</v>
      </c>
      <c r="N27" s="100">
        <v>200</v>
      </c>
      <c r="O27" s="140">
        <f t="shared" si="2"/>
        <v>2400</v>
      </c>
    </row>
    <row r="28" spans="1:15" ht="24.9" customHeight="1">
      <c r="A28" s="87"/>
      <c r="B28" s="156" t="s">
        <v>4</v>
      </c>
      <c r="C28" s="157">
        <f>SUBTOTAL(109,마케팅계획[1월])</f>
        <v>8100</v>
      </c>
      <c r="D28" s="157">
        <f>SUBTOTAL(109,마케팅계획[2월])</f>
        <v>3100</v>
      </c>
      <c r="E28" s="157">
        <f>SUBTOTAL(109,마케팅계획[3월])</f>
        <v>3100</v>
      </c>
      <c r="F28" s="157">
        <f>SUBTOTAL(109,마케팅계획[4월])</f>
        <v>11100</v>
      </c>
      <c r="G28" s="157">
        <f>SUBTOTAL(109,마케팅계획[5월])</f>
        <v>3100</v>
      </c>
      <c r="H28" s="157">
        <f>SUBTOTAL(109,마케팅계획[6월])</f>
        <v>3900</v>
      </c>
      <c r="I28" s="157">
        <f>SUBTOTAL(109,마케팅계획[7월])</f>
        <v>8100</v>
      </c>
      <c r="J28" s="157">
        <f>SUBTOTAL(109,마케팅계획[8월])</f>
        <v>6100</v>
      </c>
      <c r="K28" s="157">
        <f>SUBTOTAL(109,마케팅계획[9월])</f>
        <v>3100</v>
      </c>
      <c r="L28" s="157">
        <f>SUBTOTAL(109,마케팅계획[10월])</f>
        <v>8100</v>
      </c>
      <c r="M28" s="157">
        <f>SUBTOTAL(109,마케팅계획[11월])</f>
        <v>3100</v>
      </c>
      <c r="N28" s="157">
        <f>SUBTOTAL(109,마케팅계획[12월])</f>
        <v>6900</v>
      </c>
      <c r="O28" s="112">
        <f>SUBTOTAL(109,마케팅계획[연도])</f>
        <v>67800</v>
      </c>
    </row>
    <row r="29" spans="1:15" ht="21" customHeight="1">
      <c r="A29" s="87"/>
      <c r="B29" s="106"/>
      <c r="C29" s="106"/>
      <c r="D29" s="114"/>
      <c r="E29" s="114"/>
      <c r="F29" s="114"/>
      <c r="G29" s="114"/>
      <c r="H29" s="114"/>
      <c r="I29" s="114"/>
      <c r="J29" s="114"/>
      <c r="K29" s="114"/>
      <c r="L29" s="114"/>
      <c r="M29" s="114"/>
      <c r="N29" s="114"/>
      <c r="O29" s="108"/>
    </row>
    <row r="30" spans="1:15" ht="21" customHeight="1" thickBot="1">
      <c r="A30" s="87"/>
      <c r="B30" s="120" t="s">
        <v>21</v>
      </c>
      <c r="C30" s="94" t="s">
        <v>27</v>
      </c>
      <c r="D30" s="94" t="s">
        <v>28</v>
      </c>
      <c r="E30" s="95" t="s">
        <v>29</v>
      </c>
      <c r="F30" s="94" t="s">
        <v>30</v>
      </c>
      <c r="G30" s="94" t="s">
        <v>31</v>
      </c>
      <c r="H30" s="94" t="s">
        <v>32</v>
      </c>
      <c r="I30" s="94" t="s">
        <v>33</v>
      </c>
      <c r="J30" s="94" t="s">
        <v>34</v>
      </c>
      <c r="K30" s="94" t="s">
        <v>37</v>
      </c>
      <c r="L30" s="94" t="s">
        <v>38</v>
      </c>
      <c r="M30" s="94" t="s">
        <v>39</v>
      </c>
      <c r="N30" s="94" t="s">
        <v>40</v>
      </c>
      <c r="O30" s="96" t="s">
        <v>41</v>
      </c>
    </row>
    <row r="31" spans="1:15" ht="21" customHeight="1" thickBot="1">
      <c r="A31" s="87"/>
      <c r="B31" s="98" t="s">
        <v>22</v>
      </c>
      <c r="C31" s="99">
        <v>2000</v>
      </c>
      <c r="D31" s="100">
        <v>2000</v>
      </c>
      <c r="E31" s="100">
        <v>2000</v>
      </c>
      <c r="F31" s="100">
        <v>2000</v>
      </c>
      <c r="G31" s="100">
        <v>2000</v>
      </c>
      <c r="H31" s="100">
        <v>2000</v>
      </c>
      <c r="I31" s="100">
        <v>2000</v>
      </c>
      <c r="J31" s="100">
        <v>2000</v>
      </c>
      <c r="K31" s="100">
        <v>2000</v>
      </c>
      <c r="L31" s="100">
        <v>2000</v>
      </c>
      <c r="M31" s="100">
        <v>2000</v>
      </c>
      <c r="N31" s="100">
        <v>2000</v>
      </c>
      <c r="O31" s="101">
        <f>SUM(C31:N31)</f>
        <v>24000</v>
      </c>
    </row>
    <row r="32" spans="1:15" ht="21" customHeight="1" thickBot="1">
      <c r="A32" s="87"/>
      <c r="B32" s="98" t="s">
        <v>23</v>
      </c>
      <c r="C32" s="99">
        <v>2000</v>
      </c>
      <c r="D32" s="100">
        <v>2000</v>
      </c>
      <c r="E32" s="100">
        <v>2000</v>
      </c>
      <c r="F32" s="100">
        <v>2000</v>
      </c>
      <c r="G32" s="100">
        <v>2000</v>
      </c>
      <c r="H32" s="100">
        <v>2000</v>
      </c>
      <c r="I32" s="100">
        <v>2000</v>
      </c>
      <c r="J32" s="100">
        <v>2000</v>
      </c>
      <c r="K32" s="100">
        <v>2000</v>
      </c>
      <c r="L32" s="100">
        <v>2000</v>
      </c>
      <c r="M32" s="100">
        <v>2000</v>
      </c>
      <c r="N32" s="100">
        <v>2000</v>
      </c>
      <c r="O32" s="101">
        <f>SUM(C32:N32)</f>
        <v>24000</v>
      </c>
    </row>
    <row r="33" spans="1:15" ht="21" customHeight="1">
      <c r="A33" s="87"/>
      <c r="B33" s="156" t="s">
        <v>4</v>
      </c>
      <c r="C33" s="158">
        <f>SUBTOTAL(109,교육_및_여행계획[1월])</f>
        <v>4000</v>
      </c>
      <c r="D33" s="118">
        <f>SUBTOTAL(109,교육_및_여행계획[2월])</f>
        <v>4000</v>
      </c>
      <c r="E33" s="118">
        <f>SUBTOTAL(109,교육_및_여행계획[3월])</f>
        <v>4000</v>
      </c>
      <c r="F33" s="118">
        <f>SUBTOTAL(109,교육_및_여행계획[4월])</f>
        <v>4000</v>
      </c>
      <c r="G33" s="118">
        <f>SUBTOTAL(109,교육_및_여행계획[5월])</f>
        <v>4000</v>
      </c>
      <c r="H33" s="118">
        <f>SUBTOTAL(109,교육_및_여행계획[6월])</f>
        <v>4000</v>
      </c>
      <c r="I33" s="118">
        <f>SUBTOTAL(109,교육_및_여행계획[7월])</f>
        <v>4000</v>
      </c>
      <c r="J33" s="118">
        <f>SUBTOTAL(109,교육_및_여행계획[8월])</f>
        <v>4000</v>
      </c>
      <c r="K33" s="118">
        <f>SUBTOTAL(109,교육_및_여행계획[9월])</f>
        <v>4000</v>
      </c>
      <c r="L33" s="118">
        <f>SUBTOTAL(109,교육_및_여행계획[10월])</f>
        <v>4000</v>
      </c>
      <c r="M33" s="118">
        <f>SUBTOTAL(109,교육_및_여행계획[11월])</f>
        <v>4000</v>
      </c>
      <c r="N33" s="118">
        <f>SUBTOTAL(109,교육_및_여행계획[12월])</f>
        <v>4000</v>
      </c>
      <c r="O33" s="119">
        <f>SUBTOTAL(109,교육_및_여행계획[연도])</f>
        <v>48000</v>
      </c>
    </row>
    <row r="34" spans="1:15" ht="21" customHeight="1">
      <c r="A34" s="87"/>
      <c r="B34" s="106"/>
      <c r="C34" s="106"/>
      <c r="D34" s="108"/>
      <c r="E34" s="108"/>
      <c r="F34" s="108"/>
      <c r="G34" s="108"/>
      <c r="H34" s="108"/>
      <c r="I34" s="108"/>
      <c r="J34" s="108"/>
      <c r="K34" s="108"/>
      <c r="L34" s="108"/>
      <c r="M34" s="108"/>
      <c r="N34" s="108"/>
      <c r="O34" s="108"/>
    </row>
    <row r="35" spans="1:15" ht="24.9" customHeight="1" thickBot="1">
      <c r="A35" s="87"/>
      <c r="B35" s="159" t="s">
        <v>24</v>
      </c>
      <c r="C35" s="160" t="s">
        <v>27</v>
      </c>
      <c r="D35" s="160" t="s">
        <v>28</v>
      </c>
      <c r="E35" s="160" t="s">
        <v>29</v>
      </c>
      <c r="F35" s="160" t="s">
        <v>30</v>
      </c>
      <c r="G35" s="160" t="s">
        <v>31</v>
      </c>
      <c r="H35" s="160" t="s">
        <v>32</v>
      </c>
      <c r="I35" s="160" t="s">
        <v>33</v>
      </c>
      <c r="J35" s="160" t="s">
        <v>34</v>
      </c>
      <c r="K35" s="160" t="s">
        <v>37</v>
      </c>
      <c r="L35" s="160" t="s">
        <v>38</v>
      </c>
      <c r="M35" s="160" t="s">
        <v>39</v>
      </c>
      <c r="N35" s="160" t="s">
        <v>40</v>
      </c>
      <c r="O35" s="160" t="s">
        <v>41</v>
      </c>
    </row>
    <row r="36" spans="1:15" ht="24.9" customHeight="1" thickBot="1">
      <c r="A36" s="87"/>
      <c r="B36" s="161" t="s">
        <v>25</v>
      </c>
      <c r="C36" s="162">
        <f>교육_및_여행계획[[#Totals],[1월]]+마케팅계획[[#Totals],[1월]]+사무실계획[[#Totals],[1월]]+직원계획[[#Totals],[1월]]</f>
        <v>131420</v>
      </c>
      <c r="D36" s="162">
        <f>교육_및_여행계획[[#Totals],[2월]]+마케팅계획[[#Totals],[2월]]+사무실계획[[#Totals],[2월]]+직원계획[[#Totals],[2월]]</f>
        <v>126820</v>
      </c>
      <c r="E36" s="162">
        <f>교육_및_여행계획[[#Totals],[3월]]+마케팅계획[[#Totals],[3월]]+사무실계획[[#Totals],[3월]]+직원계획[[#Totals],[3월]]</f>
        <v>126820</v>
      </c>
      <c r="F36" s="162">
        <f>교육_및_여행계획[[#Totals],[4월]]+마케팅계획[[#Totals],[4월]]+사무실계획[[#Totals],[4월]]+직원계획[[#Totals],[4월]]</f>
        <v>137695</v>
      </c>
      <c r="G36" s="162">
        <f>교육_및_여행계획[[#Totals],[5월]]+마케팅계획[[#Totals],[5월]]+사무실계획[[#Totals],[5월]]+직원계획[[#Totals],[5월]]</f>
        <v>129695</v>
      </c>
      <c r="H36" s="162">
        <f>교육_및_여행계획[[#Totals],[6월]]+마케팅계획[[#Totals],[6월]]+사무실계획[[#Totals],[6월]]+직원계획[[#Totals],[6월]]</f>
        <v>130495</v>
      </c>
      <c r="I36" s="163">
        <f>교육_및_여행계획[[#Totals],[7월]]+마케팅계획[[#Totals],[7월]]+사무실계획[[#Totals],[7월]]+직원계획[[#Totals],[7월]]</f>
        <v>134695</v>
      </c>
      <c r="J36" s="162">
        <f>교육_및_여행계획[[#Totals],[8월]]+마케팅계획[[#Totals],[8월]]+사무실계획[[#Totals],[8월]]+직원계획[[#Totals],[8월]]</f>
        <v>138918</v>
      </c>
      <c r="K36" s="162">
        <f>교육_및_여행계획[[#Totals],[9월]]+마케팅계획[[#Totals],[9월]]+사무실계획[[#Totals],[9월]]+직원계획[[#Totals],[9월]]</f>
        <v>135918</v>
      </c>
      <c r="L36" s="162">
        <f>교육_및_여행계획[[#Totals],[10월]]+마케팅계획[[#Totals],[10월]]+사무실계획[[#Totals],[10월]]+직원계획[[#Totals],[10월]]</f>
        <v>140918</v>
      </c>
      <c r="M36" s="162">
        <f>교육_및_여행계획[[#Totals],[11월]]+마케팅계획[[#Totals],[11월]]+사무실계획[[#Totals],[11월]]+직원계획[[#Totals],[11월]]</f>
        <v>136218</v>
      </c>
      <c r="N36" s="162">
        <f>교육_및_여행계획[[#Totals],[12월]]+마케팅계획[[#Totals],[12월]]+사무실계획[[#Totals],[12월]]+직원계획[[#Totals],[12월]]</f>
        <v>140018</v>
      </c>
      <c r="O36" s="162">
        <f>교육_및_여행계획[[#Totals],[연도]]+마케팅계획[[#Totals],[연도]]+사무실계획[[#Totals],[연도]]+직원계획[[#Totals],[연도]]</f>
        <v>1609630</v>
      </c>
    </row>
    <row r="37" spans="1:15" ht="24.9" customHeight="1">
      <c r="A37" s="87"/>
      <c r="B37" s="161" t="s">
        <v>26</v>
      </c>
      <c r="C37" s="162">
        <f>SUM($C$36:C36)</f>
        <v>131420</v>
      </c>
      <c r="D37" s="162">
        <f>SUM($C$36:D36)</f>
        <v>258240</v>
      </c>
      <c r="E37" s="162">
        <f>SUM($C$36:E36)</f>
        <v>385060</v>
      </c>
      <c r="F37" s="162">
        <f>SUM($C$36:F36)</f>
        <v>522755</v>
      </c>
      <c r="G37" s="162">
        <f>SUM($C$36:G36)</f>
        <v>652450</v>
      </c>
      <c r="H37" s="162">
        <f>SUM($C$36:H36)</f>
        <v>782945</v>
      </c>
      <c r="I37" s="162">
        <f>SUM($C$36:I36)</f>
        <v>917640</v>
      </c>
      <c r="J37" s="162">
        <f>SUM($C$36:J36)</f>
        <v>1056558</v>
      </c>
      <c r="K37" s="162">
        <f>SUM($C$36:K36)</f>
        <v>1192476</v>
      </c>
      <c r="L37" s="162">
        <f>SUM($C$36:L36)</f>
        <v>1333394</v>
      </c>
      <c r="M37" s="162">
        <f>SUM($C$36:M36)</f>
        <v>1469612</v>
      </c>
      <c r="N37" s="162">
        <f>SUM($C$36:N36)</f>
        <v>1609630</v>
      </c>
      <c r="O37" s="162"/>
    </row>
    <row r="38" spans="1:15" ht="21" customHeight="1">
      <c r="A38" s="87"/>
    </row>
  </sheetData>
  <mergeCells count="3">
    <mergeCell ref="R4:T13"/>
    <mergeCell ref="K2:M2"/>
    <mergeCell ref="K3:M3"/>
  </mergeCells>
  <phoneticPr fontId="3" type="noConversion"/>
  <dataValidations count="10">
    <dataValidation allowBlank="1" showInputMessage="1" showErrorMessage="1" prompt="팁: [계획된 비용] 및 [실제 비용] 워크시트의 흰색 셀에 있는 이 TEMPLATE_x000a_[계획한 지출]과 [실제 지출] 워크시트의 흰색 셀에 입력 데이터를 입력하면 [지출 차이]와 [지출 분석]이 자동으로 계산됩니다.  한 시트에 행을 추가하는 경우 다른 시트도 일치해야 합니다._x000a_" sqref="R4:T13" xr:uid="{D85A6A5C-0DE6-4E23-8EF4-E4198877A2E2}"/>
    <dataValidation allowBlank="1" showInputMessage="1" showErrorMessage="1" prompt="이 셀에는 로고 개체 틀이 있습니다." sqref="N2" xr:uid="{945E4055-1BEA-4F2B-AF1A-B15640887A38}"/>
    <dataValidation allowBlank="1" showInputMessage="1" showErrorMessage="1" prompt="오른쪽 셀에는 [계획한 지출] 레이블, C4 ~ N4 셀에는 월, O4 셀에는 [연도] 레이블, R4 셀에는 이 템플릿을 사용하는 방법이 있습니다." sqref="A4" xr:uid="{FC1A50C5-6C61-4FA0-BFBA-2CC82DE4DC0B}"/>
    <dataValidation allowBlank="1" showInputMessage="1" showErrorMessage="1" prompt="오른쪽 셀에서 시작하는 직원 계획 표에 직원 비용을 입력합니다. 다음 명령은 셀 A10에 있습니다." sqref="A5" xr:uid="{EED19FC0-ADDC-4580-BE69-2FEDE2EE49A6}"/>
    <dataValidation allowBlank="1" showInputMessage="1" showErrorMessage="1" prompt="오른쪽 셀부터 시작하여 [사무실 계획] 표에 [사무실 비용]을 입력합니다. 다음 명령은 A21 셀에 있습니다." sqref="A10" xr:uid="{8C5477C2-13FC-4F55-AAB3-60246BBB7A64}"/>
    <dataValidation allowBlank="1" showInputMessage="1" showErrorMessage="1" prompt="오른쪽 셀부터 시작하여 [마케팅 계획] 표에 [마케팅 비용]을 입력합니다. 다음 명령은 A30 셀에 있습니다." sqref="A21" xr:uid="{66411362-0BD5-4E49-BFA8-E0A0A55D07AD}"/>
    <dataValidation allowBlank="1" showInputMessage="1" showErrorMessage="1" prompt="오른쪽 셀에서 시작하는 계획 합계 표에 합계가 자동으로 계산됩니다." sqref="A30" xr:uid="{6B0B8404-700F-48B3-AD96-0ED1CE7011E9}"/>
    <dataValidation allowBlank="1" showInputMessage="1" showErrorMessage="1" prompt="이 워크시트의 각 테이블에 계획된 직원 비용, 사무실 비용, 마케팅 비용 및 교육 또는 출장 비용을 입력합니다. 합계는 자동으로 계산됩니다. 이 워크시트를 사용하는 방법에 대한 지침은 이 열의 셀에 있습니다. 시작하려면 아래쪽 화살표를 누르세요." sqref="A1" xr:uid="{C6D84CBA-4A3E-4161-9004-1D9F785E5541}"/>
    <dataValidation allowBlank="1" showInputMessage="1" showErrorMessage="1" prompt="오른쪽 셀에 회사 이름을 입력하고 N2 셀에 로고를 입력합니다. 이 워크시트의 제목은 K2 셀에 있습니다." sqref="A2" xr:uid="{B4473BB7-021E-4A63-A5F5-4234C1B5B724}"/>
    <dataValidation allowBlank="1" showInputMessage="1" showErrorMessage="1" prompt="K3 셀에 팁이 표시됩니다." sqref="A3" xr:uid="{3ECF8058-2463-465E-ADF4-F540ECB4A91E}"/>
  </dataValidations>
  <pageMargins left="0.7" right="0.7" top="0.75" bottom="0.75" header="0.3" footer="0.3"/>
  <pageSetup paperSize="9" scale="78" fitToHeight="0" orientation="portrait" r:id="rId1"/>
  <rowBreaks count="1" manualBreakCount="1">
    <brk id="32" max="16383" man="1"/>
  </rowBreaks>
  <colBreaks count="2" manualBreakCount="2">
    <brk id="6" max="1048575" man="1"/>
    <brk id="12" max="1048575" man="1"/>
  </colBreaks>
  <ignoredErrors>
    <ignoredError sqref="C6:N6 C37:O37 C36:N36" calculatedColumn="1"/>
    <ignoredError sqref="O12" emptyCellReference="1"/>
  </ignoredErrors>
  <drawing r:id="rId2"/>
  <tableParts count="5">
    <tablePart r:id="rId3"/>
    <tablePart r:id="rId4"/>
    <tablePart r:id="rId5"/>
    <tablePart r:id="rId6"/>
    <tablePart r:id="rId7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3">
    <tabColor theme="7"/>
    <pageSetUpPr autoPageBreaks="0"/>
  </sheetPr>
  <dimension ref="A1:P38"/>
  <sheetViews>
    <sheetView showGridLines="0" zoomScaleNormal="100" workbookViewId="0"/>
  </sheetViews>
  <sheetFormatPr defaultColWidth="9.125" defaultRowHeight="21" customHeight="1"/>
  <cols>
    <col min="1" max="1" width="4.75" style="79" customWidth="1"/>
    <col min="2" max="2" width="33.375" style="97" customWidth="1"/>
    <col min="3" max="14" width="15.875" style="97" customWidth="1"/>
    <col min="15" max="15" width="16.25" style="97" customWidth="1"/>
    <col min="16" max="16" width="4.75" style="79" customWidth="1"/>
    <col min="17" max="16384" width="9.125" style="97"/>
  </cols>
  <sheetData>
    <row r="1" spans="1:16" s="79" customFormat="1" ht="24" customHeight="1">
      <c r="A1" s="75"/>
      <c r="B1" s="76"/>
      <c r="C1" s="76"/>
      <c r="D1" s="76"/>
      <c r="E1" s="76"/>
      <c r="F1" s="77"/>
      <c r="G1" s="77"/>
      <c r="H1" s="77"/>
      <c r="I1" s="77"/>
      <c r="J1" s="77"/>
      <c r="K1" s="77"/>
      <c r="L1" s="77"/>
      <c r="M1" s="77"/>
      <c r="N1" s="77"/>
      <c r="O1" s="77"/>
      <c r="P1" s="78" t="s">
        <v>42</v>
      </c>
    </row>
    <row r="2" spans="1:16" s="79" customFormat="1" ht="45" customHeight="1">
      <c r="A2" s="80"/>
      <c r="B2" s="81" t="str">
        <f>'계획한 지출'!B2:D3</f>
        <v>오빠두엑셀</v>
      </c>
      <c r="C2" s="81"/>
      <c r="D2" s="81"/>
      <c r="E2" s="82"/>
      <c r="F2" s="83"/>
      <c r="G2" s="83"/>
      <c r="H2" s="83"/>
      <c r="I2" s="83"/>
      <c r="J2" s="83"/>
      <c r="K2" s="166" t="str">
        <f>워크시트_제목</f>
        <v>세부 지출 예상 항목</v>
      </c>
      <c r="L2" s="166"/>
      <c r="M2" s="166"/>
      <c r="N2" s="84"/>
      <c r="O2" s="84"/>
      <c r="P2" s="77"/>
    </row>
    <row r="3" spans="1:16" s="79" customFormat="1" ht="30" customHeight="1">
      <c r="A3" s="80"/>
      <c r="B3" s="81"/>
      <c r="C3" s="81"/>
      <c r="D3" s="81"/>
      <c r="E3" s="85"/>
      <c r="F3" s="86"/>
      <c r="G3" s="86"/>
      <c r="H3" s="86"/>
      <c r="I3" s="86"/>
      <c r="J3" s="86"/>
      <c r="K3" s="168" t="s">
        <v>36</v>
      </c>
      <c r="L3" s="168"/>
      <c r="M3" s="168"/>
      <c r="N3" s="84"/>
      <c r="O3" s="84"/>
      <c r="P3" s="77"/>
    </row>
    <row r="4" spans="1:16" s="91" customFormat="1" ht="49.5" customHeight="1">
      <c r="A4" s="87"/>
      <c r="B4" s="88" t="s">
        <v>43</v>
      </c>
      <c r="C4" s="89" t="s">
        <v>27</v>
      </c>
      <c r="D4" s="89" t="s">
        <v>28</v>
      </c>
      <c r="E4" s="90" t="s">
        <v>29</v>
      </c>
      <c r="F4" s="89" t="s">
        <v>30</v>
      </c>
      <c r="G4" s="89" t="s">
        <v>31</v>
      </c>
      <c r="H4" s="89" t="s">
        <v>32</v>
      </c>
      <c r="I4" s="90" t="s">
        <v>33</v>
      </c>
      <c r="J4" s="89" t="s">
        <v>34</v>
      </c>
      <c r="K4" s="89" t="s">
        <v>37</v>
      </c>
      <c r="L4" s="89" t="s">
        <v>38</v>
      </c>
      <c r="M4" s="89" t="s">
        <v>39</v>
      </c>
      <c r="N4" s="90" t="s">
        <v>40</v>
      </c>
      <c r="O4" s="89" t="s">
        <v>41</v>
      </c>
    </row>
    <row r="5" spans="1:16" ht="24.9" customHeight="1" thickBot="1">
      <c r="A5" s="87"/>
      <c r="B5" s="92" t="s">
        <v>1</v>
      </c>
      <c r="C5" s="93" t="s">
        <v>27</v>
      </c>
      <c r="D5" s="94" t="s">
        <v>28</v>
      </c>
      <c r="E5" s="95" t="s">
        <v>29</v>
      </c>
      <c r="F5" s="94" t="s">
        <v>30</v>
      </c>
      <c r="G5" s="94" t="s">
        <v>31</v>
      </c>
      <c r="H5" s="94" t="s">
        <v>32</v>
      </c>
      <c r="I5" s="94" t="s">
        <v>33</v>
      </c>
      <c r="J5" s="94" t="s">
        <v>34</v>
      </c>
      <c r="K5" s="94" t="s">
        <v>37</v>
      </c>
      <c r="L5" s="94" t="s">
        <v>38</v>
      </c>
      <c r="M5" s="94" t="s">
        <v>39</v>
      </c>
      <c r="N5" s="94" t="s">
        <v>40</v>
      </c>
      <c r="O5" s="96" t="s">
        <v>41</v>
      </c>
    </row>
    <row r="6" spans="1:16" ht="24.9" customHeight="1" thickBot="1">
      <c r="A6" s="87"/>
      <c r="B6" s="98" t="s">
        <v>2</v>
      </c>
      <c r="C6" s="99">
        <v>85000</v>
      </c>
      <c r="D6" s="100">
        <v>85000</v>
      </c>
      <c r="E6" s="100">
        <v>85000</v>
      </c>
      <c r="F6" s="100">
        <v>88000</v>
      </c>
      <c r="G6" s="100">
        <v>88000</v>
      </c>
      <c r="H6" s="100">
        <v>88000</v>
      </c>
      <c r="I6" s="100"/>
      <c r="J6" s="100"/>
      <c r="K6" s="100"/>
      <c r="L6" s="100"/>
      <c r="M6" s="100"/>
      <c r="N6" s="100"/>
      <c r="O6" s="101">
        <f>SUM(C6:N6)</f>
        <v>519000</v>
      </c>
    </row>
    <row r="7" spans="1:16" ht="24.9" customHeight="1" thickBot="1">
      <c r="A7" s="87"/>
      <c r="B7" s="98" t="s">
        <v>3</v>
      </c>
      <c r="C7" s="99">
        <f t="shared" ref="C7:N7" si="0">C6*0.27</f>
        <v>22950</v>
      </c>
      <c r="D7" s="100">
        <f t="shared" si="0"/>
        <v>22950</v>
      </c>
      <c r="E7" s="100">
        <f t="shared" si="0"/>
        <v>22950</v>
      </c>
      <c r="F7" s="100">
        <f t="shared" si="0"/>
        <v>23760</v>
      </c>
      <c r="G7" s="100">
        <f t="shared" si="0"/>
        <v>23760</v>
      </c>
      <c r="H7" s="100">
        <f t="shared" si="0"/>
        <v>23760</v>
      </c>
      <c r="I7" s="100">
        <f t="shared" si="0"/>
        <v>0</v>
      </c>
      <c r="J7" s="100">
        <f t="shared" si="0"/>
        <v>0</v>
      </c>
      <c r="K7" s="100">
        <f t="shared" si="0"/>
        <v>0</v>
      </c>
      <c r="L7" s="100">
        <f t="shared" si="0"/>
        <v>0</v>
      </c>
      <c r="M7" s="100">
        <f t="shared" si="0"/>
        <v>0</v>
      </c>
      <c r="N7" s="100">
        <f t="shared" si="0"/>
        <v>0</v>
      </c>
      <c r="O7" s="101">
        <f>SUM(C7:N7)</f>
        <v>140130</v>
      </c>
    </row>
    <row r="8" spans="1:16" ht="24.9" customHeight="1">
      <c r="A8" s="87"/>
      <c r="B8" s="102" t="s">
        <v>4</v>
      </c>
      <c r="C8" s="103">
        <f>SUBTOTAL(109,직원실비[1월])</f>
        <v>107950</v>
      </c>
      <c r="D8" s="104">
        <f>SUBTOTAL(109,직원실비[2월])</f>
        <v>107950</v>
      </c>
      <c r="E8" s="104">
        <f>SUBTOTAL(109,직원실비[3월])</f>
        <v>107950</v>
      </c>
      <c r="F8" s="104">
        <f>SUBTOTAL(109,직원실비[4월])</f>
        <v>111760</v>
      </c>
      <c r="G8" s="104">
        <f>SUBTOTAL(109,직원실비[5월])</f>
        <v>111760</v>
      </c>
      <c r="H8" s="104">
        <f>SUBTOTAL(109,직원실비[6월])</f>
        <v>111760</v>
      </c>
      <c r="I8" s="104">
        <f>SUBTOTAL(109,직원실비[7월])</f>
        <v>0</v>
      </c>
      <c r="J8" s="104">
        <f>SUBTOTAL(109,직원실비[8월])</f>
        <v>0</v>
      </c>
      <c r="K8" s="104">
        <f>SUBTOTAL(109,직원실비[9월])</f>
        <v>0</v>
      </c>
      <c r="L8" s="104">
        <f>SUBTOTAL(109,직원실비[10월])</f>
        <v>0</v>
      </c>
      <c r="M8" s="104">
        <f>SUBTOTAL(109,직원실비[11월])</f>
        <v>0</v>
      </c>
      <c r="N8" s="104">
        <f>SUBTOTAL(109,직원실비[12월])</f>
        <v>0</v>
      </c>
      <c r="O8" s="105">
        <f>SUBTOTAL(109,직원실비[연도])</f>
        <v>659130</v>
      </c>
    </row>
    <row r="9" spans="1:16" s="79" customFormat="1" ht="21" customHeight="1">
      <c r="A9" s="87"/>
      <c r="B9" s="106"/>
      <c r="C9" s="106"/>
      <c r="D9" s="107"/>
      <c r="E9" s="107"/>
      <c r="F9" s="107"/>
      <c r="G9" s="107"/>
      <c r="H9" s="107"/>
      <c r="I9" s="107"/>
      <c r="J9" s="107"/>
      <c r="K9" s="107"/>
      <c r="L9" s="107"/>
      <c r="M9" s="107"/>
      <c r="N9" s="107"/>
      <c r="O9" s="108"/>
    </row>
    <row r="10" spans="1:16" ht="24.9" customHeight="1" thickBot="1">
      <c r="A10" s="87"/>
      <c r="B10" s="109" t="s">
        <v>5</v>
      </c>
      <c r="C10" s="93" t="s">
        <v>27</v>
      </c>
      <c r="D10" s="94" t="s">
        <v>28</v>
      </c>
      <c r="E10" s="95" t="s">
        <v>29</v>
      </c>
      <c r="F10" s="94" t="s">
        <v>30</v>
      </c>
      <c r="G10" s="94" t="s">
        <v>31</v>
      </c>
      <c r="H10" s="94" t="s">
        <v>32</v>
      </c>
      <c r="I10" s="94" t="s">
        <v>33</v>
      </c>
      <c r="J10" s="94" t="s">
        <v>34</v>
      </c>
      <c r="K10" s="94" t="s">
        <v>37</v>
      </c>
      <c r="L10" s="94" t="s">
        <v>38</v>
      </c>
      <c r="M10" s="94" t="s">
        <v>39</v>
      </c>
      <c r="N10" s="94" t="s">
        <v>40</v>
      </c>
      <c r="O10" s="96" t="s">
        <v>41</v>
      </c>
    </row>
    <row r="11" spans="1:16" ht="24.9" customHeight="1" thickBot="1">
      <c r="A11" s="87"/>
      <c r="B11" s="98" t="s">
        <v>6</v>
      </c>
      <c r="C11" s="99">
        <v>9800</v>
      </c>
      <c r="D11" s="100">
        <v>9800</v>
      </c>
      <c r="E11" s="100">
        <v>9800</v>
      </c>
      <c r="F11" s="100">
        <v>9800</v>
      </c>
      <c r="G11" s="100">
        <v>9800</v>
      </c>
      <c r="H11" s="100">
        <v>9800</v>
      </c>
      <c r="I11" s="100"/>
      <c r="J11" s="100"/>
      <c r="K11" s="100"/>
      <c r="L11" s="100"/>
      <c r="M11" s="100"/>
      <c r="N11" s="100"/>
      <c r="O11" s="101">
        <f t="shared" ref="O11:O18" si="1">SUM(C11:N11)</f>
        <v>58800</v>
      </c>
    </row>
    <row r="12" spans="1:16" ht="24.9" customHeight="1" thickBot="1">
      <c r="A12" s="87"/>
      <c r="B12" s="98" t="s">
        <v>7</v>
      </c>
      <c r="C12" s="99">
        <v>4</v>
      </c>
      <c r="D12" s="100">
        <v>430</v>
      </c>
      <c r="E12" s="100">
        <v>385</v>
      </c>
      <c r="F12" s="100">
        <v>230</v>
      </c>
      <c r="G12" s="100">
        <v>87</v>
      </c>
      <c r="H12" s="100">
        <v>88</v>
      </c>
      <c r="I12" s="100"/>
      <c r="J12" s="100"/>
      <c r="K12" s="100"/>
      <c r="L12" s="100"/>
      <c r="M12" s="100"/>
      <c r="N12" s="100"/>
      <c r="O12" s="101">
        <f t="shared" si="1"/>
        <v>1224</v>
      </c>
    </row>
    <row r="13" spans="1:16" ht="24.9" customHeight="1" thickBot="1">
      <c r="A13" s="87"/>
      <c r="B13" s="98" t="s">
        <v>8</v>
      </c>
      <c r="C13" s="99">
        <v>288</v>
      </c>
      <c r="D13" s="100">
        <v>278</v>
      </c>
      <c r="E13" s="100">
        <v>268</v>
      </c>
      <c r="F13" s="100">
        <v>299</v>
      </c>
      <c r="G13" s="100">
        <v>306</v>
      </c>
      <c r="H13" s="100">
        <v>290</v>
      </c>
      <c r="I13" s="100"/>
      <c r="J13" s="100"/>
      <c r="K13" s="100"/>
      <c r="L13" s="100"/>
      <c r="M13" s="100"/>
      <c r="N13" s="100"/>
      <c r="O13" s="101">
        <f t="shared" si="1"/>
        <v>1729</v>
      </c>
    </row>
    <row r="14" spans="1:16" ht="24.9" customHeight="1" thickBot="1">
      <c r="A14" s="87"/>
      <c r="B14" s="98" t="s">
        <v>9</v>
      </c>
      <c r="C14" s="99">
        <v>35</v>
      </c>
      <c r="D14" s="100">
        <v>33</v>
      </c>
      <c r="E14" s="100">
        <v>34</v>
      </c>
      <c r="F14" s="100">
        <v>36</v>
      </c>
      <c r="G14" s="100">
        <v>34</v>
      </c>
      <c r="H14" s="100">
        <v>36</v>
      </c>
      <c r="I14" s="100"/>
      <c r="J14" s="100"/>
      <c r="K14" s="100"/>
      <c r="L14" s="100"/>
      <c r="M14" s="100"/>
      <c r="N14" s="100"/>
      <c r="O14" s="101">
        <f t="shared" si="1"/>
        <v>208</v>
      </c>
    </row>
    <row r="15" spans="1:16" ht="24.9" customHeight="1" thickBot="1">
      <c r="A15" s="87"/>
      <c r="B15" s="98" t="s">
        <v>10</v>
      </c>
      <c r="C15" s="99">
        <v>224</v>
      </c>
      <c r="D15" s="100">
        <v>235</v>
      </c>
      <c r="E15" s="100">
        <v>265</v>
      </c>
      <c r="F15" s="100">
        <v>245</v>
      </c>
      <c r="G15" s="100">
        <v>245</v>
      </c>
      <c r="H15" s="100">
        <v>220</v>
      </c>
      <c r="I15" s="100"/>
      <c r="J15" s="100"/>
      <c r="K15" s="100"/>
      <c r="L15" s="100"/>
      <c r="M15" s="100"/>
      <c r="N15" s="100"/>
      <c r="O15" s="101">
        <f t="shared" si="1"/>
        <v>1434</v>
      </c>
    </row>
    <row r="16" spans="1:16" ht="24.9" customHeight="1" thickBot="1">
      <c r="A16" s="87"/>
      <c r="B16" s="98" t="s">
        <v>11</v>
      </c>
      <c r="C16" s="99">
        <v>180</v>
      </c>
      <c r="D16" s="100">
        <v>180</v>
      </c>
      <c r="E16" s="100">
        <v>180</v>
      </c>
      <c r="F16" s="100">
        <v>180</v>
      </c>
      <c r="G16" s="100">
        <v>180</v>
      </c>
      <c r="H16" s="100">
        <v>180</v>
      </c>
      <c r="I16" s="100"/>
      <c r="J16" s="100"/>
      <c r="K16" s="100"/>
      <c r="L16" s="100"/>
      <c r="M16" s="100"/>
      <c r="N16" s="100"/>
      <c r="O16" s="101">
        <f t="shared" si="1"/>
        <v>1080</v>
      </c>
    </row>
    <row r="17" spans="1:15" ht="24.9" customHeight="1" thickBot="1">
      <c r="A17" s="87"/>
      <c r="B17" s="98" t="s">
        <v>12</v>
      </c>
      <c r="C17" s="99">
        <v>256</v>
      </c>
      <c r="D17" s="100">
        <v>142</v>
      </c>
      <c r="E17" s="100">
        <v>160</v>
      </c>
      <c r="F17" s="100">
        <v>221</v>
      </c>
      <c r="G17" s="100">
        <v>256</v>
      </c>
      <c r="H17" s="100">
        <v>240</v>
      </c>
      <c r="I17" s="100"/>
      <c r="J17" s="100"/>
      <c r="K17" s="100"/>
      <c r="L17" s="100"/>
      <c r="M17" s="100"/>
      <c r="N17" s="100"/>
      <c r="O17" s="101">
        <f t="shared" si="1"/>
        <v>1275</v>
      </c>
    </row>
    <row r="18" spans="1:15" ht="24.9" customHeight="1" thickBot="1">
      <c r="A18" s="87"/>
      <c r="B18" s="98" t="s">
        <v>13</v>
      </c>
      <c r="C18" s="99">
        <v>600</v>
      </c>
      <c r="D18" s="100">
        <v>600</v>
      </c>
      <c r="E18" s="100">
        <v>600</v>
      </c>
      <c r="F18" s="100">
        <v>600</v>
      </c>
      <c r="G18" s="100">
        <v>600</v>
      </c>
      <c r="H18" s="100">
        <v>600</v>
      </c>
      <c r="I18" s="100"/>
      <c r="J18" s="100"/>
      <c r="K18" s="100"/>
      <c r="L18" s="100"/>
      <c r="M18" s="100"/>
      <c r="N18" s="100"/>
      <c r="O18" s="101">
        <f t="shared" si="1"/>
        <v>3600</v>
      </c>
    </row>
    <row r="19" spans="1:15" ht="24.9" customHeight="1">
      <c r="A19" s="87"/>
      <c r="B19" s="110" t="s">
        <v>4</v>
      </c>
      <c r="C19" s="111">
        <f>SUBTOTAL(109,사무실_실비[1월])</f>
        <v>11387</v>
      </c>
      <c r="D19" s="111">
        <f>SUBTOTAL(109,사무실_실비[2월])</f>
        <v>11698</v>
      </c>
      <c r="E19" s="111">
        <f>SUBTOTAL(109,사무실_실비[3월])</f>
        <v>11692</v>
      </c>
      <c r="F19" s="111">
        <f>SUBTOTAL(109,사무실_실비[4월])</f>
        <v>11611</v>
      </c>
      <c r="G19" s="111">
        <f>SUBTOTAL(109,사무실_실비[5월])</f>
        <v>11508</v>
      </c>
      <c r="H19" s="111">
        <f>SUBTOTAL(109,사무실_실비[6월])</f>
        <v>11454</v>
      </c>
      <c r="I19" s="111">
        <f>SUBTOTAL(109,사무실_실비[7월])</f>
        <v>0</v>
      </c>
      <c r="J19" s="111">
        <f>SUBTOTAL(109,사무실_실비[8월])</f>
        <v>0</v>
      </c>
      <c r="K19" s="111">
        <f>SUBTOTAL(109,사무실_실비[9월])</f>
        <v>0</v>
      </c>
      <c r="L19" s="111">
        <f>SUBTOTAL(109,사무실_실비[10월])</f>
        <v>0</v>
      </c>
      <c r="M19" s="111">
        <f>SUBTOTAL(109,사무실_실비[11월])</f>
        <v>0</v>
      </c>
      <c r="N19" s="111">
        <f>SUBTOTAL(109,사무실_실비[12월])</f>
        <v>0</v>
      </c>
      <c r="O19" s="112">
        <f>SUBTOTAL(109,사무실_실비[연도])</f>
        <v>69350</v>
      </c>
    </row>
    <row r="20" spans="1:15" ht="21" customHeight="1">
      <c r="A20" s="87"/>
      <c r="B20" s="113"/>
      <c r="C20" s="113"/>
      <c r="D20" s="107"/>
      <c r="E20" s="107"/>
      <c r="F20" s="114"/>
      <c r="G20" s="114"/>
      <c r="H20" s="114"/>
      <c r="I20" s="114"/>
      <c r="J20" s="114"/>
      <c r="K20" s="114"/>
      <c r="L20" s="114"/>
      <c r="M20" s="114"/>
      <c r="N20" s="114"/>
      <c r="O20" s="108"/>
    </row>
    <row r="21" spans="1:15" ht="24.9" customHeight="1" thickBot="1">
      <c r="A21" s="87"/>
      <c r="B21" s="115" t="s">
        <v>14</v>
      </c>
      <c r="C21" s="93" t="s">
        <v>27</v>
      </c>
      <c r="D21" s="94" t="s">
        <v>28</v>
      </c>
      <c r="E21" s="95" t="s">
        <v>29</v>
      </c>
      <c r="F21" s="94" t="s">
        <v>30</v>
      </c>
      <c r="G21" s="94" t="s">
        <v>31</v>
      </c>
      <c r="H21" s="94" t="s">
        <v>32</v>
      </c>
      <c r="I21" s="94" t="s">
        <v>33</v>
      </c>
      <c r="J21" s="94" t="s">
        <v>34</v>
      </c>
      <c r="K21" s="94" t="s">
        <v>37</v>
      </c>
      <c r="L21" s="94" t="s">
        <v>38</v>
      </c>
      <c r="M21" s="94" t="s">
        <v>39</v>
      </c>
      <c r="N21" s="94" t="s">
        <v>40</v>
      </c>
      <c r="O21" s="96" t="s">
        <v>41</v>
      </c>
    </row>
    <row r="22" spans="1:15" ht="24.9" customHeight="1" thickBot="1">
      <c r="A22" s="87"/>
      <c r="B22" s="98" t="s">
        <v>15</v>
      </c>
      <c r="C22" s="99">
        <v>500</v>
      </c>
      <c r="D22" s="100">
        <v>500</v>
      </c>
      <c r="E22" s="100">
        <v>500</v>
      </c>
      <c r="F22" s="100">
        <v>500</v>
      </c>
      <c r="G22" s="100">
        <v>500</v>
      </c>
      <c r="H22" s="100">
        <v>500</v>
      </c>
      <c r="I22" s="100"/>
      <c r="J22" s="100"/>
      <c r="K22" s="100"/>
      <c r="L22" s="100"/>
      <c r="M22" s="100"/>
      <c r="N22" s="100"/>
      <c r="O22" s="101">
        <f t="shared" ref="O22:O27" si="2">SUM(C22:N22)</f>
        <v>3000</v>
      </c>
    </row>
    <row r="23" spans="1:15" ht="24.9" customHeight="1" thickBot="1">
      <c r="A23" s="87"/>
      <c r="B23" s="98" t="s">
        <v>16</v>
      </c>
      <c r="C23" s="99">
        <v>200</v>
      </c>
      <c r="D23" s="100">
        <v>200</v>
      </c>
      <c r="E23" s="100">
        <v>200</v>
      </c>
      <c r="F23" s="100">
        <v>200</v>
      </c>
      <c r="G23" s="100">
        <v>200</v>
      </c>
      <c r="H23" s="100">
        <v>1500</v>
      </c>
      <c r="I23" s="100"/>
      <c r="J23" s="100"/>
      <c r="K23" s="100"/>
      <c r="L23" s="100"/>
      <c r="M23" s="100"/>
      <c r="N23" s="100"/>
      <c r="O23" s="101">
        <f t="shared" si="2"/>
        <v>2500</v>
      </c>
    </row>
    <row r="24" spans="1:15" ht="24.9" customHeight="1" thickBot="1">
      <c r="A24" s="87"/>
      <c r="B24" s="98" t="s">
        <v>17</v>
      </c>
      <c r="C24" s="99">
        <v>4800</v>
      </c>
      <c r="D24" s="100">
        <v>0</v>
      </c>
      <c r="E24" s="100">
        <v>0</v>
      </c>
      <c r="F24" s="100">
        <v>5500</v>
      </c>
      <c r="G24" s="100">
        <v>0</v>
      </c>
      <c r="H24" s="100">
        <v>0</v>
      </c>
      <c r="I24" s="100"/>
      <c r="J24" s="100"/>
      <c r="K24" s="100"/>
      <c r="L24" s="100"/>
      <c r="M24" s="100"/>
      <c r="N24" s="100"/>
      <c r="O24" s="101">
        <f t="shared" si="2"/>
        <v>10300</v>
      </c>
    </row>
    <row r="25" spans="1:15" ht="24.9" customHeight="1" thickBot="1">
      <c r="A25" s="87"/>
      <c r="B25" s="98" t="s">
        <v>18</v>
      </c>
      <c r="C25" s="99">
        <v>100</v>
      </c>
      <c r="D25" s="100">
        <v>500</v>
      </c>
      <c r="E25" s="100">
        <v>100</v>
      </c>
      <c r="F25" s="100">
        <v>100</v>
      </c>
      <c r="G25" s="100">
        <v>600</v>
      </c>
      <c r="H25" s="100">
        <v>180</v>
      </c>
      <c r="I25" s="100"/>
      <c r="J25" s="100"/>
      <c r="K25" s="100"/>
      <c r="L25" s="100"/>
      <c r="M25" s="100"/>
      <c r="N25" s="100"/>
      <c r="O25" s="101">
        <f t="shared" si="2"/>
        <v>1580</v>
      </c>
    </row>
    <row r="26" spans="1:15" ht="24.9" customHeight="1" thickBot="1">
      <c r="A26" s="87"/>
      <c r="B26" s="98" t="s">
        <v>19</v>
      </c>
      <c r="C26" s="99">
        <v>1800</v>
      </c>
      <c r="D26" s="100">
        <v>2200</v>
      </c>
      <c r="E26" s="100">
        <v>2200</v>
      </c>
      <c r="F26" s="100">
        <v>4700</v>
      </c>
      <c r="G26" s="100">
        <v>1500</v>
      </c>
      <c r="H26" s="100">
        <v>2300</v>
      </c>
      <c r="I26" s="100"/>
      <c r="J26" s="100"/>
      <c r="K26" s="100"/>
      <c r="L26" s="100"/>
      <c r="M26" s="100"/>
      <c r="N26" s="100"/>
      <c r="O26" s="101">
        <f t="shared" si="2"/>
        <v>14700</v>
      </c>
    </row>
    <row r="27" spans="1:15" ht="24.9" customHeight="1" thickBot="1">
      <c r="A27" s="87"/>
      <c r="B27" s="98" t="s">
        <v>20</v>
      </c>
      <c r="C27" s="99">
        <v>145</v>
      </c>
      <c r="D27" s="100">
        <v>156</v>
      </c>
      <c r="E27" s="100">
        <v>123</v>
      </c>
      <c r="F27" s="100">
        <v>223</v>
      </c>
      <c r="G27" s="100">
        <v>187</v>
      </c>
      <c r="H27" s="100">
        <v>245</v>
      </c>
      <c r="I27" s="100"/>
      <c r="J27" s="100"/>
      <c r="K27" s="100"/>
      <c r="L27" s="100"/>
      <c r="M27" s="100"/>
      <c r="N27" s="100"/>
      <c r="O27" s="101">
        <f t="shared" si="2"/>
        <v>1079</v>
      </c>
    </row>
    <row r="28" spans="1:15" ht="24.9" customHeight="1">
      <c r="A28" s="87"/>
      <c r="B28" s="116" t="s">
        <v>4</v>
      </c>
      <c r="C28" s="117">
        <f>SUBTOTAL(109,마케팅_실비[1월])</f>
        <v>7545</v>
      </c>
      <c r="D28" s="118">
        <f>SUBTOTAL(109,마케팅_실비[2월])</f>
        <v>3556</v>
      </c>
      <c r="E28" s="118">
        <f>SUBTOTAL(109,마케팅_실비[3월])</f>
        <v>3123</v>
      </c>
      <c r="F28" s="118">
        <f>SUBTOTAL(109,마케팅_실비[4월])</f>
        <v>11223</v>
      </c>
      <c r="G28" s="118">
        <f>SUBTOTAL(109,마케팅_실비[5월])</f>
        <v>2987</v>
      </c>
      <c r="H28" s="118">
        <f>SUBTOTAL(109,마케팅_실비[6월])</f>
        <v>4725</v>
      </c>
      <c r="I28" s="118">
        <f>SUBTOTAL(109,마케팅_실비[7월])</f>
        <v>0</v>
      </c>
      <c r="J28" s="118">
        <f>SUBTOTAL(109,마케팅_실비[8월])</f>
        <v>0</v>
      </c>
      <c r="K28" s="118">
        <f>SUBTOTAL(109,마케팅_실비[9월])</f>
        <v>0</v>
      </c>
      <c r="L28" s="118">
        <f>SUBTOTAL(109,마케팅_실비[10월])</f>
        <v>0</v>
      </c>
      <c r="M28" s="118">
        <f>SUBTOTAL(109,마케팅_실비[11월])</f>
        <v>0</v>
      </c>
      <c r="N28" s="118">
        <f>SUBTOTAL(109,마케팅_실비[12월])</f>
        <v>0</v>
      </c>
      <c r="O28" s="119">
        <f>SUBTOTAL(109,마케팅_실비[연도])</f>
        <v>33159</v>
      </c>
    </row>
    <row r="29" spans="1:15" ht="21" customHeight="1">
      <c r="A29" s="87"/>
      <c r="B29" s="106"/>
      <c r="C29" s="106"/>
      <c r="D29" s="114"/>
      <c r="E29" s="114"/>
      <c r="F29" s="114"/>
      <c r="G29" s="114"/>
      <c r="H29" s="114"/>
      <c r="I29" s="114"/>
      <c r="J29" s="114"/>
      <c r="K29" s="114"/>
      <c r="L29" s="114"/>
      <c r="M29" s="114"/>
      <c r="N29" s="114"/>
      <c r="O29" s="108"/>
    </row>
    <row r="30" spans="1:15" ht="24.9" customHeight="1" thickBot="1">
      <c r="A30" s="87"/>
      <c r="B30" s="120" t="s">
        <v>21</v>
      </c>
      <c r="C30" s="94" t="s">
        <v>27</v>
      </c>
      <c r="D30" s="94" t="s">
        <v>28</v>
      </c>
      <c r="E30" s="95" t="s">
        <v>29</v>
      </c>
      <c r="F30" s="94" t="s">
        <v>30</v>
      </c>
      <c r="G30" s="94" t="s">
        <v>31</v>
      </c>
      <c r="H30" s="94" t="s">
        <v>32</v>
      </c>
      <c r="I30" s="94" t="s">
        <v>33</v>
      </c>
      <c r="J30" s="94" t="s">
        <v>34</v>
      </c>
      <c r="K30" s="94" t="s">
        <v>37</v>
      </c>
      <c r="L30" s="94" t="s">
        <v>38</v>
      </c>
      <c r="M30" s="94" t="s">
        <v>39</v>
      </c>
      <c r="N30" s="94" t="s">
        <v>40</v>
      </c>
      <c r="O30" s="96" t="s">
        <v>41</v>
      </c>
    </row>
    <row r="31" spans="1:15" ht="24.9" customHeight="1" thickBot="1">
      <c r="A31" s="87"/>
      <c r="B31" s="121" t="s">
        <v>22</v>
      </c>
      <c r="C31" s="100">
        <v>1600</v>
      </c>
      <c r="D31" s="100">
        <v>2400</v>
      </c>
      <c r="E31" s="100">
        <v>1400</v>
      </c>
      <c r="F31" s="100">
        <v>1600</v>
      </c>
      <c r="G31" s="100">
        <v>1200</v>
      </c>
      <c r="H31" s="100">
        <v>2800</v>
      </c>
      <c r="I31" s="100"/>
      <c r="J31" s="100"/>
      <c r="K31" s="100"/>
      <c r="L31" s="100"/>
      <c r="M31" s="100"/>
      <c r="N31" s="100"/>
      <c r="O31" s="101">
        <f>SUM(C31:N31)</f>
        <v>11000</v>
      </c>
    </row>
    <row r="32" spans="1:15" ht="24.9" customHeight="1" thickBot="1">
      <c r="A32" s="87"/>
      <c r="B32" s="121" t="s">
        <v>23</v>
      </c>
      <c r="C32" s="100">
        <v>1200</v>
      </c>
      <c r="D32" s="100">
        <v>2200</v>
      </c>
      <c r="E32" s="100">
        <v>1400</v>
      </c>
      <c r="F32" s="100">
        <v>1200</v>
      </c>
      <c r="G32" s="100">
        <v>800</v>
      </c>
      <c r="H32" s="100">
        <v>3500</v>
      </c>
      <c r="I32" s="100"/>
      <c r="J32" s="100"/>
      <c r="K32" s="100"/>
      <c r="L32" s="100"/>
      <c r="M32" s="100"/>
      <c r="N32" s="100"/>
      <c r="O32" s="101">
        <f>SUM(C32:N32)</f>
        <v>10300</v>
      </c>
    </row>
    <row r="33" spans="1:16" ht="24.9" customHeight="1">
      <c r="A33" s="87"/>
      <c r="B33" s="122" t="s">
        <v>4</v>
      </c>
      <c r="C33" s="118">
        <f>SUBTOTAL(109,교육_및_여행실비[1월])</f>
        <v>2800</v>
      </c>
      <c r="D33" s="118">
        <f>SUBTOTAL(109,교육_및_여행실비[2월])</f>
        <v>4600</v>
      </c>
      <c r="E33" s="118">
        <f>SUBTOTAL(109,교육_및_여행실비[3월])</f>
        <v>2800</v>
      </c>
      <c r="F33" s="118">
        <f>SUBTOTAL(109,교육_및_여행실비[4월])</f>
        <v>2800</v>
      </c>
      <c r="G33" s="118">
        <f>SUBTOTAL(109,교육_및_여행실비[5월])</f>
        <v>2000</v>
      </c>
      <c r="H33" s="118">
        <f>SUBTOTAL(109,교육_및_여행실비[6월])</f>
        <v>6300</v>
      </c>
      <c r="I33" s="118">
        <f>SUBTOTAL(109,교육_및_여행실비[7월])</f>
        <v>0</v>
      </c>
      <c r="J33" s="118">
        <f>SUBTOTAL(109,교육_및_여행실비[8월])</f>
        <v>0</v>
      </c>
      <c r="K33" s="118">
        <f>SUBTOTAL(109,교육_및_여행실비[9월])</f>
        <v>0</v>
      </c>
      <c r="L33" s="118">
        <f>SUBTOTAL(109,교육_및_여행실비[10월])</f>
        <v>0</v>
      </c>
      <c r="M33" s="118">
        <f>SUBTOTAL(109,교육_및_여행실비[11월])</f>
        <v>0</v>
      </c>
      <c r="N33" s="118">
        <f>SUBTOTAL(109,교육_및_여행실비[12월])</f>
        <v>0</v>
      </c>
      <c r="O33" s="119">
        <f>SUBTOTAL(109,교육_및_여행실비[연도])</f>
        <v>21300</v>
      </c>
    </row>
    <row r="34" spans="1:16" ht="21" customHeight="1">
      <c r="A34" s="87"/>
      <c r="B34" s="106"/>
      <c r="C34" s="106"/>
      <c r="D34" s="108"/>
      <c r="E34" s="108"/>
      <c r="F34" s="108"/>
      <c r="G34" s="108"/>
      <c r="H34" s="108"/>
      <c r="I34" s="108"/>
      <c r="J34" s="108"/>
      <c r="K34" s="108"/>
      <c r="L34" s="108"/>
      <c r="M34" s="108"/>
      <c r="N34" s="108"/>
      <c r="O34" s="108"/>
    </row>
    <row r="35" spans="1:16" ht="24.9" customHeight="1" thickBot="1">
      <c r="A35" s="87"/>
      <c r="B35" s="123" t="s">
        <v>26</v>
      </c>
      <c r="C35" s="124" t="s">
        <v>27</v>
      </c>
      <c r="D35" s="124" t="s">
        <v>28</v>
      </c>
      <c r="E35" s="124" t="s">
        <v>29</v>
      </c>
      <c r="F35" s="124" t="s">
        <v>30</v>
      </c>
      <c r="G35" s="124" t="s">
        <v>31</v>
      </c>
      <c r="H35" s="124" t="s">
        <v>32</v>
      </c>
      <c r="I35" s="124" t="s">
        <v>33</v>
      </c>
      <c r="J35" s="124" t="s">
        <v>34</v>
      </c>
      <c r="K35" s="124" t="s">
        <v>37</v>
      </c>
      <c r="L35" s="124" t="s">
        <v>38</v>
      </c>
      <c r="M35" s="124" t="s">
        <v>39</v>
      </c>
      <c r="N35" s="124" t="s">
        <v>40</v>
      </c>
      <c r="O35" s="125" t="s">
        <v>41</v>
      </c>
    </row>
    <row r="36" spans="1:16" ht="24.9" customHeight="1" thickBot="1">
      <c r="A36" s="87"/>
      <c r="B36" s="126" t="s">
        <v>44</v>
      </c>
      <c r="C36" s="127">
        <f>교육_및_여행실비[[#Totals],[1월]]+마케팅_실비[[#Totals],[1월]]+사무실_실비[[#Totals],[1월]]+직원실비[[#Totals],[1월]]</f>
        <v>129682</v>
      </c>
      <c r="D36" s="128">
        <f>교육_및_여행실비[[#Totals],[2월]]+마케팅_실비[[#Totals],[2월]]+사무실_실비[[#Totals],[2월]]+직원실비[[#Totals],[2월]]</f>
        <v>127804</v>
      </c>
      <c r="E36" s="128">
        <f>교육_및_여행실비[[#Totals],[3월]]+마케팅_실비[[#Totals],[3월]]+사무실_실비[[#Totals],[3월]]+직원실비[[#Totals],[3월]]</f>
        <v>125565</v>
      </c>
      <c r="F36" s="128">
        <f>교육_및_여행실비[[#Totals],[4월]]+마케팅_실비[[#Totals],[4월]]+사무실_실비[[#Totals],[4월]]+직원실비[[#Totals],[4월]]</f>
        <v>137394</v>
      </c>
      <c r="G36" s="128">
        <f>교육_및_여행실비[[#Totals],[5월]]+마케팅_실비[[#Totals],[5월]]+사무실_실비[[#Totals],[5월]]+직원실비[[#Totals],[5월]]</f>
        <v>128255</v>
      </c>
      <c r="H36" s="128">
        <f>교육_및_여행실비[[#Totals],[6월]]+마케팅_실비[[#Totals],[6월]]+사무실_실비[[#Totals],[6월]]+직원실비[[#Totals],[6월]]</f>
        <v>134239</v>
      </c>
      <c r="I36" s="128">
        <f>교육_및_여행실비[[#Totals],[7월]]+마케팅_실비[[#Totals],[7월]]+사무실_실비[[#Totals],[7월]]+직원실비[[#Totals],[7월]]</f>
        <v>0</v>
      </c>
      <c r="J36" s="128">
        <f>교육_및_여행실비[[#Totals],[8월]]+마케팅_실비[[#Totals],[8월]]+사무실_실비[[#Totals],[8월]]+직원실비[[#Totals],[8월]]</f>
        <v>0</v>
      </c>
      <c r="K36" s="128">
        <f>교육_및_여행실비[[#Totals],[9월]]+마케팅_실비[[#Totals],[9월]]+사무실_실비[[#Totals],[9월]]+직원실비[[#Totals],[9월]]</f>
        <v>0</v>
      </c>
      <c r="L36" s="128">
        <f>교육_및_여행실비[[#Totals],[10월]]+마케팅_실비[[#Totals],[10월]]+사무실_실비[[#Totals],[10월]]+직원실비[[#Totals],[10월]]</f>
        <v>0</v>
      </c>
      <c r="M36" s="128">
        <f>교육_및_여행실비[[#Totals],[11월]]+마케팅_실비[[#Totals],[11월]]+사무실_실비[[#Totals],[11월]]+직원실비[[#Totals],[11월]]</f>
        <v>0</v>
      </c>
      <c r="N36" s="128">
        <f>교육_및_여행실비[[#Totals],[12월]]+마케팅_실비[[#Totals],[12월]]+사무실_실비[[#Totals],[12월]]+직원실비[[#Totals],[12월]]</f>
        <v>0</v>
      </c>
      <c r="O36" s="128">
        <f>교육_및_여행실비[[#Totals],[연도]]+마케팅_실비[[#Totals],[연도]]+사무실_실비[[#Totals],[연도]]+직원실비[[#Totals],[연도]]</f>
        <v>782939</v>
      </c>
      <c r="P36" s="129"/>
    </row>
    <row r="37" spans="1:16" ht="24.9" customHeight="1" thickBot="1">
      <c r="A37" s="87"/>
      <c r="B37" s="126" t="s">
        <v>45</v>
      </c>
      <c r="C37" s="130">
        <f>SUM($C$36:C36)</f>
        <v>129682</v>
      </c>
      <c r="D37" s="131">
        <f>SUM($C$36:D36)</f>
        <v>257486</v>
      </c>
      <c r="E37" s="131">
        <f>SUM($C$36:E36)</f>
        <v>383051</v>
      </c>
      <c r="F37" s="131">
        <f>SUM($C$36:F36)</f>
        <v>520445</v>
      </c>
      <c r="G37" s="131">
        <f>SUM($C$36:G36)</f>
        <v>648700</v>
      </c>
      <c r="H37" s="132">
        <f>SUM($C$36:H36)</f>
        <v>782939</v>
      </c>
      <c r="I37" s="131">
        <f>SUM($C$36:I36)</f>
        <v>782939</v>
      </c>
      <c r="J37" s="131">
        <f>SUM($C$36:J36)</f>
        <v>782939</v>
      </c>
      <c r="K37" s="131">
        <f>SUM($C$36:K36)</f>
        <v>782939</v>
      </c>
      <c r="L37" s="131">
        <f>SUM($C$36:L36)</f>
        <v>782939</v>
      </c>
      <c r="M37" s="132">
        <f>SUM($C$36:M36)</f>
        <v>782939</v>
      </c>
      <c r="N37" s="131">
        <f>SUM($C$36:N36)</f>
        <v>782939</v>
      </c>
      <c r="O37" s="132"/>
      <c r="P37" s="129"/>
    </row>
    <row r="38" spans="1:16" ht="21" customHeight="1">
      <c r="L38" s="133"/>
      <c r="M38" s="133"/>
      <c r="N38" s="133"/>
      <c r="O38" s="133"/>
    </row>
  </sheetData>
  <mergeCells count="2">
    <mergeCell ref="K2:M2"/>
    <mergeCell ref="K3:M3"/>
  </mergeCells>
  <phoneticPr fontId="3" type="noConversion"/>
  <dataValidations count="9">
    <dataValidation allowBlank="1" showInputMessage="1" showErrorMessage="1" prompt="이 셀에는 로고 개체 틀이 있습니다." sqref="N2" xr:uid="{C95257D8-3930-4F5C-8D70-88B292233801}"/>
    <dataValidation allowBlank="1" showInputMessage="1" showErrorMessage="1" prompt="오른쪽 셀에서 시작하는 실제 합계 표에 총 실제 지출이 자동으로 계산됩니다." sqref="A4" xr:uid="{177C6CBD-70F5-4EE0-A8BD-78C9CA33B2BD}"/>
    <dataValidation allowBlank="1" showInputMessage="1" showErrorMessage="1" prompt="오른쪽 셀부터 직원 실제 테이블에 직원 비용을 입력합니다. 다음 명령은 셀 A10에 있습니다." sqref="A5" xr:uid="{C3141D3D-0B91-4F53-BE3F-38687FD87D6B}"/>
    <dataValidation allowBlank="1" showInputMessage="1" showErrorMessage="1" prompt="오른쪽 셀부터 Office 실제 표에 Office 비용을 입력합니다. 다음 명령은 A21 셀에 있습니다." sqref="A10" xr:uid="{6B251561-6C81-4CE6-8EBF-9D5790C7CB5E}"/>
    <dataValidation allowBlank="1" showInputMessage="1" showErrorMessage="1" prompt="오른쪽 셀부터 마케팅 실제 테이블에 마케팅 비용을 입력합니다. 다음 명령은 셀 A30에 있습니다." sqref="A21" xr:uid="{D284BFB1-3C99-4A34-BA1D-2099E5838FB2}"/>
    <dataValidation allowBlank="1" showInputMessage="1" showErrorMessage="1" prompt="오른쪽 셀부터 학습 및 여행 실제 테이블에 교육 또는 여행 비용을 입력합니다. 다음 명령은 셀 A35에 있습니다." sqref="A30" xr:uid="{255C7F8A-67BD-4F48-9D93-C907D407CF4C}"/>
    <dataValidation allowBlank="1" showInputMessage="1" showErrorMessage="1" prompt="이 워크시트의 각 테이블에 계획된 직원 비용, 사무실 비용, 마케팅 비용 및 교육 또는 출장 비용을 입력합니다. 합계는 자동으로 계산됩니다. 이 워크시트를 사용하는 방법에 대한 지침은 이 열의 셀에 있습니다. 시작하려면 아래쪽 화살표를 누르세요." sqref="A1" xr:uid="{79AE6394-A51C-466A-B4A1-C38D88BF4EBB}"/>
    <dataValidation allowBlank="1" showInputMessage="1" showErrorMessage="1" prompt="회사 이름은 오른쪽 셀에서 자동으로 업데이트됩니다. 이 워크시트의 제목은 K2 셀에 있습니다. N2 셀에 로고를 입력합니다." sqref="A2" xr:uid="{26A4B1D9-8F73-440F-9A07-A3F7DBC9AEEF}"/>
    <dataValidation allowBlank="1" showInputMessage="1" showErrorMessage="1" prompt="K3 셀에 팁이 표시됩니다." sqref="A3" xr:uid="{7DD6B845-A534-4A07-B96C-7DC7C0D747FC}"/>
  </dataValidations>
  <pageMargins left="0.7" right="0.7" top="0.75" bottom="0.75" header="0.3" footer="0.3"/>
  <pageSetup paperSize="9" scale="77" fitToHeight="0" orientation="portrait" r:id="rId1"/>
  <rowBreaks count="1" manualBreakCount="1">
    <brk id="32" max="16383" man="1"/>
  </rowBreaks>
  <colBreaks count="2" manualBreakCount="2">
    <brk id="6" max="1048575" man="1"/>
    <brk id="12" max="1048575" man="1"/>
  </colBreaks>
  <ignoredErrors>
    <ignoredError sqref="B2 O31:O33 O22:O28 O11:O18" emptyCellReference="1"/>
    <ignoredError sqref="C37:O37 C7:H7 C6:N6 O7 C36:N36" calculatedColumn="1"/>
    <ignoredError sqref="O6 I7:N7" emptyCellReference="1" calculatedColumn="1"/>
  </ignoredErrors>
  <drawing r:id="rId2"/>
  <tableParts count="5">
    <tablePart r:id="rId3"/>
    <tablePart r:id="rId4"/>
    <tablePart r:id="rId5"/>
    <tablePart r:id="rId6"/>
    <tablePart r:id="rId7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4">
    <tabColor theme="7"/>
    <pageSetUpPr autoPageBreaks="0"/>
  </sheetPr>
  <dimension ref="A1:P38"/>
  <sheetViews>
    <sheetView showGridLines="0" zoomScaleNormal="100" workbookViewId="0"/>
  </sheetViews>
  <sheetFormatPr defaultColWidth="9.125" defaultRowHeight="21" customHeight="1"/>
  <cols>
    <col min="1" max="1" width="4.75" style="5" customWidth="1"/>
    <col min="2" max="2" width="33.375" style="29" customWidth="1"/>
    <col min="3" max="14" width="15.875" style="29" customWidth="1"/>
    <col min="15" max="15" width="16.25" style="29" customWidth="1"/>
    <col min="16" max="16" width="4.75" style="5" customWidth="1"/>
    <col min="17" max="16384" width="9.125" style="29"/>
  </cols>
  <sheetData>
    <row r="1" spans="1:16" s="5" customFormat="1" ht="24" customHeight="1">
      <c r="A1" s="1"/>
      <c r="B1" s="2"/>
      <c r="C1" s="2"/>
      <c r="D1" s="2"/>
      <c r="E1" s="2"/>
      <c r="F1" s="3"/>
      <c r="G1" s="3"/>
      <c r="H1" s="3"/>
      <c r="I1" s="3"/>
      <c r="J1" s="3"/>
      <c r="K1" s="3"/>
      <c r="L1" s="3"/>
      <c r="M1" s="3"/>
      <c r="N1" s="3"/>
      <c r="O1" s="3"/>
      <c r="P1" s="4" t="s">
        <v>42</v>
      </c>
    </row>
    <row r="2" spans="1:16" s="5" customFormat="1" ht="45" customHeight="1">
      <c r="A2" s="6"/>
      <c r="B2" s="7" t="str">
        <f>'계획한 지출'!B2:D3</f>
        <v>오빠두엑셀</v>
      </c>
      <c r="C2" s="7"/>
      <c r="D2" s="7"/>
      <c r="E2" s="8"/>
      <c r="F2" s="9"/>
      <c r="G2" s="9"/>
      <c r="H2" s="9"/>
      <c r="I2" s="9"/>
      <c r="J2" s="9"/>
      <c r="K2" s="169" t="str">
        <f>워크시트_제목</f>
        <v>세부 지출 예상 항목</v>
      </c>
      <c r="L2" s="169"/>
      <c r="M2" s="169"/>
      <c r="N2" s="10"/>
      <c r="O2" s="10"/>
      <c r="P2" s="3"/>
    </row>
    <row r="3" spans="1:16" s="5" customFormat="1" ht="30" customHeight="1">
      <c r="A3" s="6"/>
      <c r="B3" s="7"/>
      <c r="C3" s="7"/>
      <c r="D3" s="7"/>
      <c r="E3" s="11"/>
      <c r="F3" s="12"/>
      <c r="G3" s="12"/>
      <c r="H3" s="12"/>
      <c r="I3" s="12"/>
      <c r="J3" s="12"/>
      <c r="K3" s="170" t="s">
        <v>36</v>
      </c>
      <c r="L3" s="170"/>
      <c r="M3" s="170"/>
      <c r="N3" s="10"/>
      <c r="O3" s="10"/>
      <c r="P3" s="3"/>
    </row>
    <row r="4" spans="1:16" s="17" customFormat="1" ht="49.5" customHeight="1">
      <c r="A4" s="13"/>
      <c r="B4" s="14" t="s">
        <v>46</v>
      </c>
      <c r="C4" s="15" t="s">
        <v>27</v>
      </c>
      <c r="D4" s="15" t="s">
        <v>28</v>
      </c>
      <c r="E4" s="16" t="s">
        <v>29</v>
      </c>
      <c r="F4" s="15" t="s">
        <v>30</v>
      </c>
      <c r="G4" s="15" t="s">
        <v>31</v>
      </c>
      <c r="H4" s="15" t="s">
        <v>32</v>
      </c>
      <c r="I4" s="16" t="s">
        <v>33</v>
      </c>
      <c r="J4" s="15" t="s">
        <v>34</v>
      </c>
      <c r="K4" s="15" t="s">
        <v>37</v>
      </c>
      <c r="L4" s="15" t="s">
        <v>38</v>
      </c>
      <c r="M4" s="15" t="s">
        <v>39</v>
      </c>
      <c r="N4" s="16" t="s">
        <v>40</v>
      </c>
      <c r="O4" s="15" t="s">
        <v>41</v>
      </c>
    </row>
    <row r="5" spans="1:16" ht="24.9" customHeight="1" thickBot="1">
      <c r="A5" s="13"/>
      <c r="B5" s="25" t="s">
        <v>1</v>
      </c>
      <c r="C5" s="26" t="s">
        <v>27</v>
      </c>
      <c r="D5" s="26" t="s">
        <v>28</v>
      </c>
      <c r="E5" s="27" t="s">
        <v>29</v>
      </c>
      <c r="F5" s="26" t="s">
        <v>30</v>
      </c>
      <c r="G5" s="26" t="s">
        <v>31</v>
      </c>
      <c r="H5" s="26" t="s">
        <v>32</v>
      </c>
      <c r="I5" s="26" t="s">
        <v>33</v>
      </c>
      <c r="J5" s="26" t="s">
        <v>34</v>
      </c>
      <c r="K5" s="26" t="s">
        <v>37</v>
      </c>
      <c r="L5" s="26" t="s">
        <v>38</v>
      </c>
      <c r="M5" s="26" t="s">
        <v>39</v>
      </c>
      <c r="N5" s="26" t="s">
        <v>40</v>
      </c>
      <c r="O5" s="28" t="s">
        <v>41</v>
      </c>
    </row>
    <row r="6" spans="1:16" ht="24.9" customHeight="1" thickBot="1">
      <c r="A6" s="13"/>
      <c r="B6" s="18" t="s">
        <v>2</v>
      </c>
      <c r="C6" s="41">
        <f>INDEX(직원계획[],MATCH(INDEX(EmployeeVariances[],ROW()-ROW(EmployeeVariances[[#Headers],[1월]]),1),INDEX(직원계획[],,1),0),MATCH(EmployeeVariances[[#Headers],[1월]],직원계획[#Headers],0))-INDEX(직원실비[],MATCH(INDEX(EmployeeVariances[],ROW()-ROW(EmployeeVariances[[#Headers],[1월]]),1),INDEX(직원계획[],,1),0),MATCH(EmployeeVariances[[#Headers],[1월]],직원실비[#Headers],0))</f>
        <v>0</v>
      </c>
      <c r="D6" s="42">
        <f>INDEX(직원계획[],MATCH(INDEX(EmployeeVariances[],ROW()-ROW(EmployeeVariances[[#Headers],[2월]]),1),INDEX(직원계획[],,1),0),MATCH(EmployeeVariances[[#Headers],[2월]],직원계획[#Headers],0))-INDEX(직원실비[],MATCH(INDEX(EmployeeVariances[],ROW()-ROW(EmployeeVariances[[#Headers],[2월]]),1),INDEX(직원계획[],,1),0),MATCH(EmployeeVariances[[#Headers],[2월]],직원실비[#Headers],0))</f>
        <v>0</v>
      </c>
      <c r="E6" s="42">
        <f>INDEX(직원계획[],MATCH(INDEX(EmployeeVariances[],ROW()-ROW(EmployeeVariances[[#Headers],[3월]]),1),INDEX(직원계획[],,1),0),MATCH(EmployeeVariances[[#Headers],[3월]],직원계획[#Headers],0))-INDEX(직원실비[],MATCH(INDEX(EmployeeVariances[],ROW()-ROW(EmployeeVariances[[#Headers],[3월]]),1),INDEX(직원계획[],,1),0),MATCH(EmployeeVariances[[#Headers],[3월]],직원실비[#Headers],0))</f>
        <v>0</v>
      </c>
      <c r="F6" s="42">
        <f>INDEX(직원계획[],MATCH(INDEX(EmployeeVariances[],ROW()-ROW(EmployeeVariances[[#Headers],[4월]]),1),INDEX(직원계획[],,1),0),MATCH(EmployeeVariances[[#Headers],[4월]],직원계획[#Headers],0))-INDEX(직원실비[],MATCH(INDEX(EmployeeVariances[],ROW()-ROW(EmployeeVariances[[#Headers],[4월]]),1),INDEX(직원계획[],,1),0),MATCH(EmployeeVariances[[#Headers],[4월]],직원실비[#Headers],0))</f>
        <v>-500</v>
      </c>
      <c r="G6" s="42">
        <f>INDEX(직원계획[],MATCH(INDEX(EmployeeVariances[],ROW()-ROW(EmployeeVariances[[#Headers],[5월]]),1),INDEX(직원계획[],,1),0),MATCH(EmployeeVariances[[#Headers],[5월]],직원계획[#Headers],0))-INDEX(직원실비[],MATCH(INDEX(EmployeeVariances[],ROW()-ROW(EmployeeVariances[[#Headers],[5월]]),1),INDEX(직원계획[],,1),0),MATCH(EmployeeVariances[[#Headers],[5월]],직원실비[#Headers],0))</f>
        <v>-500</v>
      </c>
      <c r="H6" s="42">
        <f>INDEX(직원계획[],MATCH(INDEX(EmployeeVariances[],ROW()-ROW(EmployeeVariances[[#Headers],[6월]]),1),INDEX(직원계획[],,1),0),MATCH(EmployeeVariances[[#Headers],[6월]],직원계획[#Headers],0))-INDEX(직원실비[],MATCH(INDEX(EmployeeVariances[],ROW()-ROW(EmployeeVariances[[#Headers],[6월]]),1),INDEX(직원계획[],,1),0),MATCH(EmployeeVariances[[#Headers],[6월]],직원실비[#Headers],0))</f>
        <v>-500</v>
      </c>
      <c r="I6" s="42">
        <f>INDEX(직원계획[],MATCH(INDEX(EmployeeVariances[],ROW()-ROW(EmployeeVariances[[#Headers],[7월]]),1),INDEX(직원계획[],,1),0),MATCH(EmployeeVariances[[#Headers],[7월]],직원계획[#Headers],0))-INDEX(직원실비[],MATCH(INDEX(EmployeeVariances[],ROW()-ROW(EmployeeVariances[[#Headers],[7월]]),1),INDEX(직원계획[],,1),0),MATCH(EmployeeVariances[[#Headers],[7월]],직원실비[#Headers],0))</f>
        <v>87500</v>
      </c>
      <c r="J6" s="42">
        <f>INDEX(직원계획[],MATCH(INDEX(EmployeeVariances[],ROW()-ROW(EmployeeVariances[[#Headers],[8월]]),1),INDEX(직원계획[],,1),0),MATCH(EmployeeVariances[[#Headers],[8월]],직원계획[#Headers],0))-INDEX(직원실비[],MATCH(INDEX(EmployeeVariances[],ROW()-ROW(EmployeeVariances[[#Headers],[8월]]),1),INDEX(직원계획[],,1),0),MATCH(EmployeeVariances[[#Headers],[8월]],직원실비[#Headers],0))</f>
        <v>92400</v>
      </c>
      <c r="K6" s="42">
        <f>INDEX(직원계획[],MATCH(INDEX(EmployeeVariances[],ROW()-ROW(EmployeeVariances[[#Headers],[9월]]),1),INDEX(직원계획[],,1),0),MATCH(EmployeeVariances[[#Headers],[9월]],직원계획[#Headers],0))-INDEX(직원실비[],MATCH(INDEX(EmployeeVariances[],ROW()-ROW(EmployeeVariances[[#Headers],[9월]]),1),INDEX(직원계획[],,1),0),MATCH(EmployeeVariances[[#Headers],[9월]],직원실비[#Headers],0))</f>
        <v>92400</v>
      </c>
      <c r="L6" s="42">
        <f>INDEX(직원계획[],MATCH(INDEX(EmployeeVariances[],ROW()-ROW(EmployeeVariances[[#Headers],[10월]]),1),INDEX(직원계획[],,1),0),MATCH(EmployeeVariances[[#Headers],[10월]],직원계획[#Headers],0))-INDEX(직원실비[],MATCH(INDEX(EmployeeVariances[],ROW()-ROW(EmployeeVariances[[#Headers],[10월]]),1),INDEX(직원계획[],,1),0),MATCH(EmployeeVariances[[#Headers],[10월]],직원실비[#Headers],0))</f>
        <v>92400</v>
      </c>
      <c r="M6" s="42">
        <f>INDEX(직원계획[],MATCH(INDEX(EmployeeVariances[],ROW()-ROW(EmployeeVariances[[#Headers],[11월]]),1),INDEX(직원계획[],,1),0),MATCH(EmployeeVariances[[#Headers],[11월]],직원계획[#Headers],0))-INDEX(직원실비[],MATCH(INDEX(EmployeeVariances[],ROW()-ROW(EmployeeVariances[[#Headers],[11월]]),1),INDEX(직원계획[],,1),0),MATCH(EmployeeVariances[[#Headers],[11월]],직원실비[#Headers],0))</f>
        <v>92400</v>
      </c>
      <c r="N6" s="42">
        <f>INDEX(직원계획[],MATCH(INDEX(EmployeeVariances[],ROW()-ROW(EmployeeVariances[[#Headers],[12월]]),1),INDEX(직원계획[],,1),0),MATCH(EmployeeVariances[[#Headers],[12월]],직원계획[#Headers],0))-INDEX(직원실비[],MATCH(INDEX(EmployeeVariances[],ROW()-ROW(EmployeeVariances[[#Headers],[12월]]),1),INDEX(직원계획[],,1),0),MATCH(EmployeeVariances[[#Headers],[12월]],직원실비[#Headers],0))</f>
        <v>92400</v>
      </c>
      <c r="O6" s="43">
        <f>SUM(EmployeeVariances[[#This Row],[1월]:[12월]])</f>
        <v>548000</v>
      </c>
    </row>
    <row r="7" spans="1:16" ht="24.9" customHeight="1" thickBot="1">
      <c r="A7" s="13"/>
      <c r="B7" s="18" t="s">
        <v>3</v>
      </c>
      <c r="C7" s="41">
        <f>INDEX(직원계획[],MATCH(INDEX(EmployeeVariances[],ROW()-ROW(EmployeeVariances[[#Headers],[1월]]),1),INDEX(직원계획[],,1),0),MATCH(EmployeeVariances[[#Headers],[1월]],직원계획[#Headers],0))-INDEX(직원실비[],MATCH(INDEX(EmployeeVariances[],ROW()-ROW(EmployeeVariances[[#Headers],[1월]]),1),INDEX(직원계획[],,1),0),MATCH(EmployeeVariances[[#Headers],[1월]],직원실비[#Headers],0))</f>
        <v>0</v>
      </c>
      <c r="D7" s="42">
        <f>INDEX(직원계획[],MATCH(INDEX(EmployeeVariances[],ROW()-ROW(EmployeeVariances[[#Headers],[2월]]),1),INDEX(직원계획[],,1),0),MATCH(EmployeeVariances[[#Headers],[2월]],직원계획[#Headers],0))-INDEX(직원실비[],MATCH(INDEX(EmployeeVariances[],ROW()-ROW(EmployeeVariances[[#Headers],[2월]]),1),INDEX(직원계획[],,1),0),MATCH(EmployeeVariances[[#Headers],[2월]],직원실비[#Headers],0))</f>
        <v>0</v>
      </c>
      <c r="E7" s="42">
        <f>INDEX(직원계획[],MATCH(INDEX(EmployeeVariances[],ROW()-ROW(EmployeeVariances[[#Headers],[3월]]),1),INDEX(직원계획[],,1),0),MATCH(EmployeeVariances[[#Headers],[3월]],직원계획[#Headers],0))-INDEX(직원실비[],MATCH(INDEX(EmployeeVariances[],ROW()-ROW(EmployeeVariances[[#Headers],[3월]]),1),INDEX(직원계획[],,1),0),MATCH(EmployeeVariances[[#Headers],[3월]],직원실비[#Headers],0))</f>
        <v>0</v>
      </c>
      <c r="F7" s="42">
        <f>INDEX(직원계획[],MATCH(INDEX(EmployeeVariances[],ROW()-ROW(EmployeeVariances[[#Headers],[4월]]),1),INDEX(직원계획[],,1),0),MATCH(EmployeeVariances[[#Headers],[4월]],직원계획[#Headers],0))-INDEX(직원실비[],MATCH(INDEX(EmployeeVariances[],ROW()-ROW(EmployeeVariances[[#Headers],[4월]]),1),INDEX(직원계획[],,1),0),MATCH(EmployeeVariances[[#Headers],[4월]],직원실비[#Headers],0))</f>
        <v>-135</v>
      </c>
      <c r="G7" s="42">
        <f>INDEX(직원계획[],MATCH(INDEX(EmployeeVariances[],ROW()-ROW(EmployeeVariances[[#Headers],[5월]]),1),INDEX(직원계획[],,1),0),MATCH(EmployeeVariances[[#Headers],[5월]],직원계획[#Headers],0))-INDEX(직원실비[],MATCH(INDEX(EmployeeVariances[],ROW()-ROW(EmployeeVariances[[#Headers],[5월]]),1),INDEX(직원계획[],,1),0),MATCH(EmployeeVariances[[#Headers],[5월]],직원실비[#Headers],0))</f>
        <v>-135</v>
      </c>
      <c r="H7" s="42">
        <f>INDEX(직원계획[],MATCH(INDEX(EmployeeVariances[],ROW()-ROW(EmployeeVariances[[#Headers],[6월]]),1),INDEX(직원계획[],,1),0),MATCH(EmployeeVariances[[#Headers],[6월]],직원계획[#Headers],0))-INDEX(직원실비[],MATCH(INDEX(EmployeeVariances[],ROW()-ROW(EmployeeVariances[[#Headers],[6월]]),1),INDEX(직원계획[],,1),0),MATCH(EmployeeVariances[[#Headers],[6월]],직원실비[#Headers],0))</f>
        <v>-135</v>
      </c>
      <c r="I7" s="42">
        <f>INDEX(직원계획[],MATCH(INDEX(EmployeeVariances[],ROW()-ROW(EmployeeVariances[[#Headers],[7월]]),1),INDEX(직원계획[],,1),0),MATCH(EmployeeVariances[[#Headers],[7월]],직원계획[#Headers],0))-INDEX(직원실비[],MATCH(INDEX(EmployeeVariances[],ROW()-ROW(EmployeeVariances[[#Headers],[7월]]),1),INDEX(직원계획[],,1),0),MATCH(EmployeeVariances[[#Headers],[7월]],직원실비[#Headers],0))</f>
        <v>23625</v>
      </c>
      <c r="J7" s="42">
        <f>INDEX(직원계획[],MATCH(INDEX(EmployeeVariances[],ROW()-ROW(EmployeeVariances[[#Headers],[8월]]),1),INDEX(직원계획[],,1),0),MATCH(EmployeeVariances[[#Headers],[8월]],직원계획[#Headers],0))-INDEX(직원실비[],MATCH(INDEX(EmployeeVariances[],ROW()-ROW(EmployeeVariances[[#Headers],[8월]]),1),INDEX(직원계획[],,1),0),MATCH(EmployeeVariances[[#Headers],[8월]],직원실비[#Headers],0))</f>
        <v>24948</v>
      </c>
      <c r="K7" s="42">
        <f>INDEX(직원계획[],MATCH(INDEX(EmployeeVariances[],ROW()-ROW(EmployeeVariances[[#Headers],[9월]]),1),INDEX(직원계획[],,1),0),MATCH(EmployeeVariances[[#Headers],[9월]],직원계획[#Headers],0))-INDEX(직원실비[],MATCH(INDEX(EmployeeVariances[],ROW()-ROW(EmployeeVariances[[#Headers],[9월]]),1),INDEX(직원계획[],,1),0),MATCH(EmployeeVariances[[#Headers],[9월]],직원실비[#Headers],0))</f>
        <v>24948</v>
      </c>
      <c r="L7" s="42">
        <f>INDEX(직원계획[],MATCH(INDEX(EmployeeVariances[],ROW()-ROW(EmployeeVariances[[#Headers],[10월]]),1),INDEX(직원계획[],,1),0),MATCH(EmployeeVariances[[#Headers],[10월]],직원계획[#Headers],0))-INDEX(직원실비[],MATCH(INDEX(EmployeeVariances[],ROW()-ROW(EmployeeVariances[[#Headers],[10월]]),1),INDEX(직원계획[],,1),0),MATCH(EmployeeVariances[[#Headers],[10월]],직원실비[#Headers],0))</f>
        <v>24948</v>
      </c>
      <c r="M7" s="42">
        <f>INDEX(직원계획[],MATCH(INDEX(EmployeeVariances[],ROW()-ROW(EmployeeVariances[[#Headers],[11월]]),1),INDEX(직원계획[],,1),0),MATCH(EmployeeVariances[[#Headers],[11월]],직원계획[#Headers],0))-INDEX(직원실비[],MATCH(INDEX(EmployeeVariances[],ROW()-ROW(EmployeeVariances[[#Headers],[11월]]),1),INDEX(직원계획[],,1),0),MATCH(EmployeeVariances[[#Headers],[11월]],직원실비[#Headers],0))</f>
        <v>24948</v>
      </c>
      <c r="N7" s="42">
        <f>INDEX(직원계획[],MATCH(INDEX(EmployeeVariances[],ROW()-ROW(EmployeeVariances[[#Headers],[12월]]),1),INDEX(직원계획[],,1),0),MATCH(EmployeeVariances[[#Headers],[12월]],직원계획[#Headers],0))-INDEX(직원실비[],MATCH(INDEX(EmployeeVariances[],ROW()-ROW(EmployeeVariances[[#Headers],[12월]]),1),INDEX(직원계획[],,1),0),MATCH(EmployeeVariances[[#Headers],[12월]],직원실비[#Headers],0))</f>
        <v>24948</v>
      </c>
      <c r="O7" s="43">
        <f>SUM(EmployeeVariances[[#This Row],[1월]:[12월]])</f>
        <v>147960</v>
      </c>
    </row>
    <row r="8" spans="1:16" ht="24.9" customHeight="1">
      <c r="A8" s="13"/>
      <c r="B8" s="30" t="s">
        <v>4</v>
      </c>
      <c r="C8" s="47">
        <f>SUBTOTAL(109,EmployeeVariances[1월])</f>
        <v>0</v>
      </c>
      <c r="D8" s="47">
        <f>SUBTOTAL(109,EmployeeVariances[2월])</f>
        <v>0</v>
      </c>
      <c r="E8" s="47">
        <f>SUBTOTAL(109,EmployeeVariances[3월])</f>
        <v>0</v>
      </c>
      <c r="F8" s="47">
        <f>SUBTOTAL(109,EmployeeVariances[4월])</f>
        <v>-635</v>
      </c>
      <c r="G8" s="47">
        <f>SUBTOTAL(109,EmployeeVariances[5월])</f>
        <v>-635</v>
      </c>
      <c r="H8" s="47">
        <f>SUBTOTAL(109,EmployeeVariances[6월])</f>
        <v>-635</v>
      </c>
      <c r="I8" s="47">
        <f>SUBTOTAL(109,EmployeeVariances[7월])</f>
        <v>111125</v>
      </c>
      <c r="J8" s="47">
        <f>SUBTOTAL(109,EmployeeVariances[8월])</f>
        <v>117348</v>
      </c>
      <c r="K8" s="47">
        <f>SUBTOTAL(109,EmployeeVariances[9월])</f>
        <v>117348</v>
      </c>
      <c r="L8" s="47">
        <f>SUBTOTAL(109,EmployeeVariances[10월])</f>
        <v>117348</v>
      </c>
      <c r="M8" s="47">
        <f>SUBTOTAL(109,EmployeeVariances[11월])</f>
        <v>117348</v>
      </c>
      <c r="N8" s="47">
        <f>SUBTOTAL(109,EmployeeVariances[12월])</f>
        <v>117348</v>
      </c>
      <c r="O8" s="48">
        <f>SUBTOTAL(109,EmployeeVariances[연도])</f>
        <v>695960</v>
      </c>
    </row>
    <row r="9" spans="1:16" ht="21" customHeight="1">
      <c r="A9" s="13"/>
      <c r="B9" s="19"/>
      <c r="C9" s="19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5"/>
    </row>
    <row r="10" spans="1:16" ht="24.9" customHeight="1" thickBot="1">
      <c r="A10" s="13"/>
      <c r="B10" s="31" t="s">
        <v>5</v>
      </c>
      <c r="C10" s="22" t="s">
        <v>27</v>
      </c>
      <c r="D10" s="22" t="s">
        <v>28</v>
      </c>
      <c r="E10" s="23" t="s">
        <v>29</v>
      </c>
      <c r="F10" s="22" t="s">
        <v>30</v>
      </c>
      <c r="G10" s="22" t="s">
        <v>31</v>
      </c>
      <c r="H10" s="22" t="s">
        <v>32</v>
      </c>
      <c r="I10" s="22" t="s">
        <v>33</v>
      </c>
      <c r="J10" s="22" t="s">
        <v>34</v>
      </c>
      <c r="K10" s="22" t="s">
        <v>37</v>
      </c>
      <c r="L10" s="22" t="s">
        <v>38</v>
      </c>
      <c r="M10" s="22" t="s">
        <v>39</v>
      </c>
      <c r="N10" s="22" t="s">
        <v>40</v>
      </c>
      <c r="O10" s="24" t="s">
        <v>41</v>
      </c>
    </row>
    <row r="11" spans="1:16" ht="24.9" customHeight="1" thickBot="1">
      <c r="A11" s="13"/>
      <c r="B11" s="32" t="s">
        <v>6</v>
      </c>
      <c r="C11" s="42">
        <f>INDEX(사무실계획[],MATCH(INDEX(OfficeVariances[],ROW()-ROW(OfficeVariances[[#Headers],[1월]]),1),INDEX(사무실계획[],,1),0),MATCH(OfficeVariances[[#Headers],[1월]],사무실계획[#Headers],0))-INDEX(사무실_실비[],MATCH(INDEX(OfficeVariances[],ROW()-ROW(OfficeVariances[[#Headers],[1월]]),1),INDEX(사무실계획[],,1),0),MATCH(OfficeVariances[[#Headers],[1월]],사무실_실비[#Headers],0))</f>
        <v>0</v>
      </c>
      <c r="D11" s="42">
        <f>INDEX(사무실계획[],MATCH(INDEX(OfficeVariances[],ROW()-ROW(OfficeVariances[[#Headers],[2월]]),1),INDEX(사무실계획[],,1),0),MATCH(OfficeVariances[[#Headers],[2월]],사무실계획[#Headers],0))-INDEX(사무실_실비[],MATCH(INDEX(OfficeVariances[],ROW()-ROW(OfficeVariances[[#Headers],[2월]]),1),INDEX(사무실계획[],,1),0),MATCH(OfficeVariances[[#Headers],[2월]],사무실_실비[#Headers],0))</f>
        <v>0</v>
      </c>
      <c r="E11" s="42">
        <f>INDEX(사무실계획[],MATCH(INDEX(OfficeVariances[],ROW()-ROW(OfficeVariances[[#Headers],[3월]]),1),INDEX(사무실계획[],,1),0),MATCH(OfficeVariances[[#Headers],[3월]],사무실계획[#Headers],0))-INDEX(사무실_실비[],MATCH(INDEX(OfficeVariances[],ROW()-ROW(OfficeVariances[[#Headers],[3월]]),1),INDEX(사무실계획[],,1),0),MATCH(OfficeVariances[[#Headers],[3월]],사무실_실비[#Headers],0))</f>
        <v>0</v>
      </c>
      <c r="F11" s="42">
        <f>INDEX(사무실계획[],MATCH(INDEX(OfficeVariances[],ROW()-ROW(OfficeVariances[[#Headers],[4월]]),1),INDEX(사무실계획[],,1),0),MATCH(OfficeVariances[[#Headers],[4월]],사무실계획[#Headers],0))-INDEX(사무실_실비[],MATCH(INDEX(OfficeVariances[],ROW()-ROW(OfficeVariances[[#Headers],[4월]]),1),INDEX(사무실계획[],,1),0),MATCH(OfficeVariances[[#Headers],[4월]],사무실_실비[#Headers],0))</f>
        <v>0</v>
      </c>
      <c r="G11" s="42">
        <f>INDEX(사무실계획[],MATCH(INDEX(OfficeVariances[],ROW()-ROW(OfficeVariances[[#Headers],[5월]]),1),INDEX(사무실계획[],,1),0),MATCH(OfficeVariances[[#Headers],[5월]],사무실계획[#Headers],0))-INDEX(사무실_실비[],MATCH(INDEX(OfficeVariances[],ROW()-ROW(OfficeVariances[[#Headers],[5월]]),1),INDEX(사무실계획[],,1),0),MATCH(OfficeVariances[[#Headers],[5월]],사무실_실비[#Headers],0))</f>
        <v>0</v>
      </c>
      <c r="H11" s="42">
        <f>INDEX(사무실계획[],MATCH(INDEX(OfficeVariances[],ROW()-ROW(OfficeVariances[[#Headers],[6월]]),1),INDEX(사무실계획[],,1),0),MATCH(OfficeVariances[[#Headers],[6월]],사무실계획[#Headers],0))-INDEX(사무실_실비[],MATCH(INDEX(OfficeVariances[],ROW()-ROW(OfficeVariances[[#Headers],[6월]]),1),INDEX(사무실계획[],,1),0),MATCH(OfficeVariances[[#Headers],[6월]],사무실_실비[#Headers],0))</f>
        <v>0</v>
      </c>
      <c r="I11" s="42">
        <f>INDEX(사무실계획[],MATCH(INDEX(OfficeVariances[],ROW()-ROW(OfficeVariances[[#Headers],[7월]]),1),INDEX(사무실계획[],,1),0),MATCH(OfficeVariances[[#Headers],[7월]],사무실계획[#Headers],0))-INDEX(사무실_실비[],MATCH(INDEX(OfficeVariances[],ROW()-ROW(OfficeVariances[[#Headers],[7월]]),1),INDEX(사무실계획[],,1),0),MATCH(OfficeVariances[[#Headers],[7월]],사무실_실비[#Headers],0))</f>
        <v>9800</v>
      </c>
      <c r="J11" s="42">
        <f>INDEX(사무실계획[],MATCH(INDEX(OfficeVariances[],ROW()-ROW(OfficeVariances[[#Headers],[8월]]),1),INDEX(사무실계획[],,1),0),MATCH(OfficeVariances[[#Headers],[8월]],사무실계획[#Headers],0))-INDEX(사무실_실비[],MATCH(INDEX(OfficeVariances[],ROW()-ROW(OfficeVariances[[#Headers],[8월]]),1),INDEX(사무실계획[],,1),0),MATCH(OfficeVariances[[#Headers],[8월]],사무실_실비[#Headers],0))</f>
        <v>9800</v>
      </c>
      <c r="K11" s="42">
        <f>INDEX(사무실계획[],MATCH(INDEX(OfficeVariances[],ROW()-ROW(OfficeVariances[[#Headers],[9월]]),1),INDEX(사무실계획[],,1),0),MATCH(OfficeVariances[[#Headers],[9월]],사무실계획[#Headers],0))-INDEX(사무실_실비[],MATCH(INDEX(OfficeVariances[],ROW()-ROW(OfficeVariances[[#Headers],[9월]]),1),INDEX(사무실계획[],,1),0),MATCH(OfficeVariances[[#Headers],[9월]],사무실_실비[#Headers],0))</f>
        <v>9800</v>
      </c>
      <c r="L11" s="42">
        <f>INDEX(사무실계획[],MATCH(INDEX(OfficeVariances[],ROW()-ROW(OfficeVariances[[#Headers],[10월]]),1),INDEX(사무실계획[],,1),0),MATCH(OfficeVariances[[#Headers],[10월]],사무실계획[#Headers],0))-INDEX(사무실_실비[],MATCH(INDEX(OfficeVariances[],ROW()-ROW(OfficeVariances[[#Headers],[10월]]),1),INDEX(사무실계획[],,1),0),MATCH(OfficeVariances[[#Headers],[10월]],사무실_실비[#Headers],0))</f>
        <v>9800</v>
      </c>
      <c r="M11" s="42">
        <f>INDEX(사무실계획[],MATCH(INDEX(OfficeVariances[],ROW()-ROW(OfficeVariances[[#Headers],[11월]]),1),INDEX(사무실계획[],,1),0),MATCH(OfficeVariances[[#Headers],[11월]],사무실계획[#Headers],0))-INDEX(사무실_실비[],MATCH(INDEX(OfficeVariances[],ROW()-ROW(OfficeVariances[[#Headers],[11월]]),1),INDEX(사무실계획[],,1),0),MATCH(OfficeVariances[[#Headers],[11월]],사무실_실비[#Headers],0))</f>
        <v>9800</v>
      </c>
      <c r="N11" s="42">
        <f>INDEX(사무실계획[],MATCH(INDEX(OfficeVariances[],ROW()-ROW(OfficeVariances[[#Headers],[12월]]),1),INDEX(사무실계획[],,1),0),MATCH(OfficeVariances[[#Headers],[12월]],사무실계획[#Headers],0))-INDEX(사무실_실비[],MATCH(INDEX(OfficeVariances[],ROW()-ROW(OfficeVariances[[#Headers],[12월]]),1),INDEX(사무실계획[],,1),0),MATCH(OfficeVariances[[#Headers],[12월]],사무실_실비[#Headers],0))</f>
        <v>9800</v>
      </c>
      <c r="O11" s="43">
        <f>SUM(OfficeVariances[[#This Row],[1월]:[12월]])</f>
        <v>58800</v>
      </c>
    </row>
    <row r="12" spans="1:16" ht="24.9" customHeight="1" thickBot="1">
      <c r="A12" s="13"/>
      <c r="B12" s="32" t="s">
        <v>7</v>
      </c>
      <c r="C12" s="42">
        <f>INDEX(사무실계획[],MATCH(INDEX(OfficeVariances[],ROW()-ROW(OfficeVariances[[#Headers],[1월]]),1),INDEX(사무실계획[],,1),0),MATCH(OfficeVariances[[#Headers],[1월]],사무실계획[#Headers],0))-INDEX(사무실_실비[],MATCH(INDEX(OfficeVariances[],ROW()-ROW(OfficeVariances[[#Headers],[1월]]),1),INDEX(사무실계획[],,1),0),MATCH(OfficeVariances[[#Headers],[1월]],사무실_실비[#Headers],0))</f>
        <v>-4</v>
      </c>
      <c r="D12" s="42">
        <f>INDEX(사무실계획[],MATCH(INDEX(OfficeVariances[],ROW()-ROW(OfficeVariances[[#Headers],[2월]]),1),INDEX(사무실계획[],,1),0),MATCH(OfficeVariances[[#Headers],[2월]],사무실계획[#Headers],0))-INDEX(사무실_실비[],MATCH(INDEX(OfficeVariances[],ROW()-ROW(OfficeVariances[[#Headers],[2월]]),1),INDEX(사무실계획[],,1),0),MATCH(OfficeVariances[[#Headers],[2월]],사무실_실비[#Headers],0))</f>
        <v>-30</v>
      </c>
      <c r="E12" s="42">
        <f>INDEX(사무실계획[],MATCH(INDEX(OfficeVariances[],ROW()-ROW(OfficeVariances[[#Headers],[3월]]),1),INDEX(사무실계획[],,1),0),MATCH(OfficeVariances[[#Headers],[3월]],사무실계획[#Headers],0))-INDEX(사무실_실비[],MATCH(INDEX(OfficeVariances[],ROW()-ROW(OfficeVariances[[#Headers],[3월]]),1),INDEX(사무실계획[],,1),0),MATCH(OfficeVariances[[#Headers],[3월]],사무실_실비[#Headers],0))</f>
        <v>15</v>
      </c>
      <c r="F12" s="42">
        <f>INDEX(사무실계획[],MATCH(INDEX(OfficeVariances[],ROW()-ROW(OfficeVariances[[#Headers],[4월]]),1),INDEX(사무실계획[],,1),0),MATCH(OfficeVariances[[#Headers],[4월]],사무실계획[#Headers],0))-INDEX(사무실_실비[],MATCH(INDEX(OfficeVariances[],ROW()-ROW(OfficeVariances[[#Headers],[4월]]),1),INDEX(사무실계획[],,1),0),MATCH(OfficeVariances[[#Headers],[4월]],사무실_실비[#Headers],0))</f>
        <v>-130</v>
      </c>
      <c r="G12" s="42">
        <f>INDEX(사무실계획[],MATCH(INDEX(OfficeVariances[],ROW()-ROW(OfficeVariances[[#Headers],[5월]]),1),INDEX(사무실계획[],,1),0),MATCH(OfficeVariances[[#Headers],[5월]],사무실계획[#Headers],0))-INDEX(사무실_실비[],MATCH(INDEX(OfficeVariances[],ROW()-ROW(OfficeVariances[[#Headers],[5월]]),1),INDEX(사무실계획[],,1),0),MATCH(OfficeVariances[[#Headers],[5월]],사무실_실비[#Headers],0))</f>
        <v>13</v>
      </c>
      <c r="H12" s="42">
        <f>INDEX(사무실계획[],MATCH(INDEX(OfficeVariances[],ROW()-ROW(OfficeVariances[[#Headers],[6월]]),1),INDEX(사무실계획[],,1),0),MATCH(OfficeVariances[[#Headers],[6월]],사무실계획[#Headers],0))-INDEX(사무실_실비[],MATCH(INDEX(OfficeVariances[],ROW()-ROW(OfficeVariances[[#Headers],[6월]]),1),INDEX(사무실계획[],,1),0),MATCH(OfficeVariances[[#Headers],[6월]],사무실_실비[#Headers],0))</f>
        <v>12</v>
      </c>
      <c r="I12" s="42">
        <f>INDEX(사무실계획[],MATCH(INDEX(OfficeVariances[],ROW()-ROW(OfficeVariances[[#Headers],[7월]]),1),INDEX(사무실계획[],,1),0),MATCH(OfficeVariances[[#Headers],[7월]],사무실계획[#Headers],0))-INDEX(사무실_실비[],MATCH(INDEX(OfficeVariances[],ROW()-ROW(OfficeVariances[[#Headers],[7월]]),1),INDEX(사무실계획[],,1),0),MATCH(OfficeVariances[[#Headers],[7월]],사무실_실비[#Headers],0))</f>
        <v>100</v>
      </c>
      <c r="J12" s="42">
        <f>INDEX(사무실계획[],MATCH(INDEX(OfficeVariances[],ROW()-ROW(OfficeVariances[[#Headers],[8월]]),1),INDEX(사무실계획[],,1),0),MATCH(OfficeVariances[[#Headers],[8월]],사무실계획[#Headers],0))-INDEX(사무실_실비[],MATCH(INDEX(OfficeVariances[],ROW()-ROW(OfficeVariances[[#Headers],[8월]]),1),INDEX(사무실계획[],,1),0),MATCH(OfficeVariances[[#Headers],[8월]],사무실_실비[#Headers],0))</f>
        <v>100</v>
      </c>
      <c r="K12" s="42">
        <f>INDEX(사무실계획[],MATCH(INDEX(OfficeVariances[],ROW()-ROW(OfficeVariances[[#Headers],[9월]]),1),INDEX(사무실계획[],,1),0),MATCH(OfficeVariances[[#Headers],[9월]],사무실계획[#Headers],0))-INDEX(사무실_실비[],MATCH(INDEX(OfficeVariances[],ROW()-ROW(OfficeVariances[[#Headers],[9월]]),1),INDEX(사무실계획[],,1),0),MATCH(OfficeVariances[[#Headers],[9월]],사무실_실비[#Headers],0))</f>
        <v>100</v>
      </c>
      <c r="L12" s="42">
        <f>INDEX(사무실계획[],MATCH(INDEX(OfficeVariances[],ROW()-ROW(OfficeVariances[[#Headers],[10월]]),1),INDEX(사무실계획[],,1),0),MATCH(OfficeVariances[[#Headers],[10월]],사무실계획[#Headers],0))-INDEX(사무실_실비[],MATCH(INDEX(OfficeVariances[],ROW()-ROW(OfficeVariances[[#Headers],[10월]]),1),INDEX(사무실계획[],,1),0),MATCH(OfficeVariances[[#Headers],[10월]],사무실_실비[#Headers],0))</f>
        <v>100</v>
      </c>
      <c r="M12" s="42">
        <f>INDEX(사무실계획[],MATCH(INDEX(OfficeVariances[],ROW()-ROW(OfficeVariances[[#Headers],[11월]]),1),INDEX(사무실계획[],,1),0),MATCH(OfficeVariances[[#Headers],[11월]],사무실계획[#Headers],0))-INDEX(사무실_실비[],MATCH(INDEX(OfficeVariances[],ROW()-ROW(OfficeVariances[[#Headers],[11월]]),1),INDEX(사무실계획[],,1),0),MATCH(OfficeVariances[[#Headers],[11월]],사무실_실비[#Headers],0))</f>
        <v>400</v>
      </c>
      <c r="N12" s="42">
        <f>INDEX(사무실계획[],MATCH(INDEX(OfficeVariances[],ROW()-ROW(OfficeVariances[[#Headers],[12월]]),1),INDEX(사무실계획[],,1),0),MATCH(OfficeVariances[[#Headers],[12월]],사무실계획[#Headers],0))-INDEX(사무실_실비[],MATCH(INDEX(OfficeVariances[],ROW()-ROW(OfficeVariances[[#Headers],[12월]]),1),INDEX(사무실계획[],,1),0),MATCH(OfficeVariances[[#Headers],[12월]],사무실_실비[#Headers],0))</f>
        <v>400</v>
      </c>
      <c r="O12" s="43">
        <f>SUM(OfficeVariances[[#This Row],[1월]:[12월]])</f>
        <v>1076</v>
      </c>
    </row>
    <row r="13" spans="1:16" ht="24.9" customHeight="1" thickBot="1">
      <c r="A13" s="13"/>
      <c r="B13" s="32" t="s">
        <v>8</v>
      </c>
      <c r="C13" s="42">
        <f>INDEX(사무실계획[],MATCH(INDEX(OfficeVariances[],ROW()-ROW(OfficeVariances[[#Headers],[1월]]),1),INDEX(사무실계획[],,1),0),MATCH(OfficeVariances[[#Headers],[1월]],사무실계획[#Headers],0))-INDEX(사무실_실비[],MATCH(INDEX(OfficeVariances[],ROW()-ROW(OfficeVariances[[#Headers],[1월]]),1),INDEX(사무실계획[],,1),0),MATCH(OfficeVariances[[#Headers],[1월]],사무실_실비[#Headers],0))</f>
        <v>12</v>
      </c>
      <c r="D13" s="42">
        <f>INDEX(사무실계획[],MATCH(INDEX(OfficeVariances[],ROW()-ROW(OfficeVariances[[#Headers],[2월]]),1),INDEX(사무실계획[],,1),0),MATCH(OfficeVariances[[#Headers],[2월]],사무실계획[#Headers],0))-INDEX(사무실_실비[],MATCH(INDEX(OfficeVariances[],ROW()-ROW(OfficeVariances[[#Headers],[2월]]),1),INDEX(사무실계획[],,1),0),MATCH(OfficeVariances[[#Headers],[2월]],사무실_실비[#Headers],0))</f>
        <v>22</v>
      </c>
      <c r="E13" s="42">
        <f>INDEX(사무실계획[],MATCH(INDEX(OfficeVariances[],ROW()-ROW(OfficeVariances[[#Headers],[3월]]),1),INDEX(사무실계획[],,1),0),MATCH(OfficeVariances[[#Headers],[3월]],사무실계획[#Headers],0))-INDEX(사무실_실비[],MATCH(INDEX(OfficeVariances[],ROW()-ROW(OfficeVariances[[#Headers],[3월]]),1),INDEX(사무실계획[],,1),0),MATCH(OfficeVariances[[#Headers],[3월]],사무실_실비[#Headers],0))</f>
        <v>32</v>
      </c>
      <c r="F13" s="42">
        <f>INDEX(사무실계획[],MATCH(INDEX(OfficeVariances[],ROW()-ROW(OfficeVariances[[#Headers],[4월]]),1),INDEX(사무실계획[],,1),0),MATCH(OfficeVariances[[#Headers],[4월]],사무실계획[#Headers],0))-INDEX(사무실_실비[],MATCH(INDEX(OfficeVariances[],ROW()-ROW(OfficeVariances[[#Headers],[4월]]),1),INDEX(사무실계획[],,1),0),MATCH(OfficeVariances[[#Headers],[4월]],사무실_실비[#Headers],0))</f>
        <v>1</v>
      </c>
      <c r="G13" s="42">
        <f>INDEX(사무실계획[],MATCH(INDEX(OfficeVariances[],ROW()-ROW(OfficeVariances[[#Headers],[5월]]),1),INDEX(사무실계획[],,1),0),MATCH(OfficeVariances[[#Headers],[5월]],사무실계획[#Headers],0))-INDEX(사무실_실비[],MATCH(INDEX(OfficeVariances[],ROW()-ROW(OfficeVariances[[#Headers],[5월]]),1),INDEX(사무실계획[],,1),0),MATCH(OfficeVariances[[#Headers],[5월]],사무실_실비[#Headers],0))</f>
        <v>-6</v>
      </c>
      <c r="H13" s="42">
        <f>INDEX(사무실계획[],MATCH(INDEX(OfficeVariances[],ROW()-ROW(OfficeVariances[[#Headers],[6월]]),1),INDEX(사무실계획[],,1),0),MATCH(OfficeVariances[[#Headers],[6월]],사무실계획[#Headers],0))-INDEX(사무실_실비[],MATCH(INDEX(OfficeVariances[],ROW()-ROW(OfficeVariances[[#Headers],[6월]]),1),INDEX(사무실계획[],,1),0),MATCH(OfficeVariances[[#Headers],[6월]],사무실_실비[#Headers],0))</f>
        <v>10</v>
      </c>
      <c r="I13" s="42">
        <f>INDEX(사무실계획[],MATCH(INDEX(OfficeVariances[],ROW()-ROW(OfficeVariances[[#Headers],[7월]]),1),INDEX(사무실계획[],,1),0),MATCH(OfficeVariances[[#Headers],[7월]],사무실계획[#Headers],0))-INDEX(사무실_실비[],MATCH(INDEX(OfficeVariances[],ROW()-ROW(OfficeVariances[[#Headers],[7월]]),1),INDEX(사무실계획[],,1),0),MATCH(OfficeVariances[[#Headers],[7월]],사무실_실비[#Headers],0))</f>
        <v>300</v>
      </c>
      <c r="J13" s="42">
        <f>INDEX(사무실계획[],MATCH(INDEX(OfficeVariances[],ROW()-ROW(OfficeVariances[[#Headers],[8월]]),1),INDEX(사무실계획[],,1),0),MATCH(OfficeVariances[[#Headers],[8월]],사무실계획[#Headers],0))-INDEX(사무실_실비[],MATCH(INDEX(OfficeVariances[],ROW()-ROW(OfficeVariances[[#Headers],[8월]]),1),INDEX(사무실계획[],,1),0),MATCH(OfficeVariances[[#Headers],[8월]],사무실_실비[#Headers],0))</f>
        <v>300</v>
      </c>
      <c r="K13" s="42">
        <f>INDEX(사무실계획[],MATCH(INDEX(OfficeVariances[],ROW()-ROW(OfficeVariances[[#Headers],[9월]]),1),INDEX(사무실계획[],,1),0),MATCH(OfficeVariances[[#Headers],[9월]],사무실계획[#Headers],0))-INDEX(사무실_실비[],MATCH(INDEX(OfficeVariances[],ROW()-ROW(OfficeVariances[[#Headers],[9월]]),1),INDEX(사무실계획[],,1),0),MATCH(OfficeVariances[[#Headers],[9월]],사무실_실비[#Headers],0))</f>
        <v>300</v>
      </c>
      <c r="L13" s="42">
        <f>INDEX(사무실계획[],MATCH(INDEX(OfficeVariances[],ROW()-ROW(OfficeVariances[[#Headers],[10월]]),1),INDEX(사무실계획[],,1),0),MATCH(OfficeVariances[[#Headers],[10월]],사무실계획[#Headers],0))-INDEX(사무실_실비[],MATCH(INDEX(OfficeVariances[],ROW()-ROW(OfficeVariances[[#Headers],[10월]]),1),INDEX(사무실계획[],,1),0),MATCH(OfficeVariances[[#Headers],[10월]],사무실_실비[#Headers],0))</f>
        <v>300</v>
      </c>
      <c r="M13" s="42">
        <f>INDEX(사무실계획[],MATCH(INDEX(OfficeVariances[],ROW()-ROW(OfficeVariances[[#Headers],[11월]]),1),INDEX(사무실계획[],,1),0),MATCH(OfficeVariances[[#Headers],[11월]],사무실계획[#Headers],0))-INDEX(사무실_실비[],MATCH(INDEX(OfficeVariances[],ROW()-ROW(OfficeVariances[[#Headers],[11월]]),1),INDEX(사무실계획[],,1),0),MATCH(OfficeVariances[[#Headers],[11월]],사무실_실비[#Headers],0))</f>
        <v>300</v>
      </c>
      <c r="N13" s="42">
        <f>INDEX(사무실계획[],MATCH(INDEX(OfficeVariances[],ROW()-ROW(OfficeVariances[[#Headers],[12월]]),1),INDEX(사무실계획[],,1),0),MATCH(OfficeVariances[[#Headers],[12월]],사무실계획[#Headers],0))-INDEX(사무실_실비[],MATCH(INDEX(OfficeVariances[],ROW()-ROW(OfficeVariances[[#Headers],[12월]]),1),INDEX(사무실계획[],,1),0),MATCH(OfficeVariances[[#Headers],[12월]],사무실_실비[#Headers],0))</f>
        <v>300</v>
      </c>
      <c r="O13" s="43">
        <f>SUM(OfficeVariances[[#This Row],[1월]:[12월]])</f>
        <v>1871</v>
      </c>
    </row>
    <row r="14" spans="1:16" ht="24.9" customHeight="1" thickBot="1">
      <c r="A14" s="13"/>
      <c r="B14" s="32" t="s">
        <v>9</v>
      </c>
      <c r="C14" s="42">
        <f>INDEX(사무실계획[],MATCH(INDEX(OfficeVariances[],ROW()-ROW(OfficeVariances[[#Headers],[1월]]),1),INDEX(사무실계획[],,1),0),MATCH(OfficeVariances[[#Headers],[1월]],사무실계획[#Headers],0))-INDEX(사무실_실비[],MATCH(INDEX(OfficeVariances[],ROW()-ROW(OfficeVariances[[#Headers],[1월]]),1),INDEX(사무실계획[],,1),0),MATCH(OfficeVariances[[#Headers],[1월]],사무실_실비[#Headers],0))</f>
        <v>5</v>
      </c>
      <c r="D14" s="42">
        <f>INDEX(사무실계획[],MATCH(INDEX(OfficeVariances[],ROW()-ROW(OfficeVariances[[#Headers],[2월]]),1),INDEX(사무실계획[],,1),0),MATCH(OfficeVariances[[#Headers],[2월]],사무실계획[#Headers],0))-INDEX(사무실_실비[],MATCH(INDEX(OfficeVariances[],ROW()-ROW(OfficeVariances[[#Headers],[2월]]),1),INDEX(사무실계획[],,1),0),MATCH(OfficeVariances[[#Headers],[2월]],사무실_실비[#Headers],0))</f>
        <v>7</v>
      </c>
      <c r="E14" s="42">
        <f>INDEX(사무실계획[],MATCH(INDEX(OfficeVariances[],ROW()-ROW(OfficeVariances[[#Headers],[3월]]),1),INDEX(사무실계획[],,1),0),MATCH(OfficeVariances[[#Headers],[3월]],사무실계획[#Headers],0))-INDEX(사무실_실비[],MATCH(INDEX(OfficeVariances[],ROW()-ROW(OfficeVariances[[#Headers],[3월]]),1),INDEX(사무실계획[],,1),0),MATCH(OfficeVariances[[#Headers],[3월]],사무실_실비[#Headers],0))</f>
        <v>6</v>
      </c>
      <c r="F14" s="42">
        <f>INDEX(사무실계획[],MATCH(INDEX(OfficeVariances[],ROW()-ROW(OfficeVariances[[#Headers],[4월]]),1),INDEX(사무실계획[],,1),0),MATCH(OfficeVariances[[#Headers],[4월]],사무실계획[#Headers],0))-INDEX(사무실_실비[],MATCH(INDEX(OfficeVariances[],ROW()-ROW(OfficeVariances[[#Headers],[4월]]),1),INDEX(사무실계획[],,1),0),MATCH(OfficeVariances[[#Headers],[4월]],사무실_실비[#Headers],0))</f>
        <v>4</v>
      </c>
      <c r="G14" s="42">
        <f>INDEX(사무실계획[],MATCH(INDEX(OfficeVariances[],ROW()-ROW(OfficeVariances[[#Headers],[5월]]),1),INDEX(사무실계획[],,1),0),MATCH(OfficeVariances[[#Headers],[5월]],사무실계획[#Headers],0))-INDEX(사무실_실비[],MATCH(INDEX(OfficeVariances[],ROW()-ROW(OfficeVariances[[#Headers],[5월]]),1),INDEX(사무실계획[],,1),0),MATCH(OfficeVariances[[#Headers],[5월]],사무실_실비[#Headers],0))</f>
        <v>6</v>
      </c>
      <c r="H14" s="42">
        <f>INDEX(사무실계획[],MATCH(INDEX(OfficeVariances[],ROW()-ROW(OfficeVariances[[#Headers],[6월]]),1),INDEX(사무실계획[],,1),0),MATCH(OfficeVariances[[#Headers],[6월]],사무실계획[#Headers],0))-INDEX(사무실_실비[],MATCH(INDEX(OfficeVariances[],ROW()-ROW(OfficeVariances[[#Headers],[6월]]),1),INDEX(사무실계획[],,1),0),MATCH(OfficeVariances[[#Headers],[6월]],사무실_실비[#Headers],0))</f>
        <v>4</v>
      </c>
      <c r="I14" s="42">
        <f>INDEX(사무실계획[],MATCH(INDEX(OfficeVariances[],ROW()-ROW(OfficeVariances[[#Headers],[7월]]),1),INDEX(사무실계획[],,1),0),MATCH(OfficeVariances[[#Headers],[7월]],사무실계획[#Headers],0))-INDEX(사무실_실비[],MATCH(INDEX(OfficeVariances[],ROW()-ROW(OfficeVariances[[#Headers],[7월]]),1),INDEX(사무실계획[],,1),0),MATCH(OfficeVariances[[#Headers],[7월]],사무실_실비[#Headers],0))</f>
        <v>40</v>
      </c>
      <c r="J14" s="42">
        <f>INDEX(사무실계획[],MATCH(INDEX(OfficeVariances[],ROW()-ROW(OfficeVariances[[#Headers],[8월]]),1),INDEX(사무실계획[],,1),0),MATCH(OfficeVariances[[#Headers],[8월]],사무실계획[#Headers],0))-INDEX(사무실_실비[],MATCH(INDEX(OfficeVariances[],ROW()-ROW(OfficeVariances[[#Headers],[8월]]),1),INDEX(사무실계획[],,1),0),MATCH(OfficeVariances[[#Headers],[8월]],사무실_실비[#Headers],0))</f>
        <v>40</v>
      </c>
      <c r="K14" s="42">
        <f>INDEX(사무실계획[],MATCH(INDEX(OfficeVariances[],ROW()-ROW(OfficeVariances[[#Headers],[9월]]),1),INDEX(사무실계획[],,1),0),MATCH(OfficeVariances[[#Headers],[9월]],사무실계획[#Headers],0))-INDEX(사무실_실비[],MATCH(INDEX(OfficeVariances[],ROW()-ROW(OfficeVariances[[#Headers],[9월]]),1),INDEX(사무실계획[],,1),0),MATCH(OfficeVariances[[#Headers],[9월]],사무실_실비[#Headers],0))</f>
        <v>40</v>
      </c>
      <c r="L14" s="42">
        <f>INDEX(사무실계획[],MATCH(INDEX(OfficeVariances[],ROW()-ROW(OfficeVariances[[#Headers],[10월]]),1),INDEX(사무실계획[],,1),0),MATCH(OfficeVariances[[#Headers],[10월]],사무실계획[#Headers],0))-INDEX(사무실_실비[],MATCH(INDEX(OfficeVariances[],ROW()-ROW(OfficeVariances[[#Headers],[10월]]),1),INDEX(사무실계획[],,1),0),MATCH(OfficeVariances[[#Headers],[10월]],사무실_실비[#Headers],0))</f>
        <v>40</v>
      </c>
      <c r="M14" s="42">
        <f>INDEX(사무실계획[],MATCH(INDEX(OfficeVariances[],ROW()-ROW(OfficeVariances[[#Headers],[11월]]),1),INDEX(사무실계획[],,1),0),MATCH(OfficeVariances[[#Headers],[11월]],사무실계획[#Headers],0))-INDEX(사무실_실비[],MATCH(INDEX(OfficeVariances[],ROW()-ROW(OfficeVariances[[#Headers],[11월]]),1),INDEX(사무실계획[],,1),0),MATCH(OfficeVariances[[#Headers],[11월]],사무실_실비[#Headers],0))</f>
        <v>40</v>
      </c>
      <c r="N14" s="42">
        <f>INDEX(사무실계획[],MATCH(INDEX(OfficeVariances[],ROW()-ROW(OfficeVariances[[#Headers],[12월]]),1),INDEX(사무실계획[],,1),0),MATCH(OfficeVariances[[#Headers],[12월]],사무실계획[#Headers],0))-INDEX(사무실_실비[],MATCH(INDEX(OfficeVariances[],ROW()-ROW(OfficeVariances[[#Headers],[12월]]),1),INDEX(사무실계획[],,1),0),MATCH(OfficeVariances[[#Headers],[12월]],사무실_실비[#Headers],0))</f>
        <v>40</v>
      </c>
      <c r="O14" s="43">
        <f>SUM(OfficeVariances[[#This Row],[1월]:[12월]])</f>
        <v>272</v>
      </c>
    </row>
    <row r="15" spans="1:16" ht="24.9" customHeight="1" thickBot="1">
      <c r="A15" s="13"/>
      <c r="B15" s="32" t="s">
        <v>10</v>
      </c>
      <c r="C15" s="42">
        <f>INDEX(사무실계획[],MATCH(INDEX(OfficeVariances[],ROW()-ROW(OfficeVariances[[#Headers],[1월]]),1),INDEX(사무실계획[],,1),0),MATCH(OfficeVariances[[#Headers],[1월]],사무실계획[#Headers],0))-INDEX(사무실_실비[],MATCH(INDEX(OfficeVariances[],ROW()-ROW(OfficeVariances[[#Headers],[1월]]),1),INDEX(사무실계획[],,1),0),MATCH(OfficeVariances[[#Headers],[1월]],사무실_실비[#Headers],0))</f>
        <v>26</v>
      </c>
      <c r="D15" s="42">
        <f>INDEX(사무실계획[],MATCH(INDEX(OfficeVariances[],ROW()-ROW(OfficeVariances[[#Headers],[2월]]),1),INDEX(사무실계획[],,1),0),MATCH(OfficeVariances[[#Headers],[2월]],사무실계획[#Headers],0))-INDEX(사무실_실비[],MATCH(INDEX(OfficeVariances[],ROW()-ROW(OfficeVariances[[#Headers],[2월]]),1),INDEX(사무실계획[],,1),0),MATCH(OfficeVariances[[#Headers],[2월]],사무실_실비[#Headers],0))</f>
        <v>15</v>
      </c>
      <c r="E15" s="42">
        <f>INDEX(사무실계획[],MATCH(INDEX(OfficeVariances[],ROW()-ROW(OfficeVariances[[#Headers],[3월]]),1),INDEX(사무실계획[],,1),0),MATCH(OfficeVariances[[#Headers],[3월]],사무실계획[#Headers],0))-INDEX(사무실_실비[],MATCH(INDEX(OfficeVariances[],ROW()-ROW(OfficeVariances[[#Headers],[3월]]),1),INDEX(사무실계획[],,1),0),MATCH(OfficeVariances[[#Headers],[3월]],사무실_실비[#Headers],0))</f>
        <v>-15</v>
      </c>
      <c r="F15" s="42">
        <f>INDEX(사무실계획[],MATCH(INDEX(OfficeVariances[],ROW()-ROW(OfficeVariances[[#Headers],[4월]]),1),INDEX(사무실계획[],,1),0),MATCH(OfficeVariances[[#Headers],[4월]],사무실계획[#Headers],0))-INDEX(사무실_실비[],MATCH(INDEX(OfficeVariances[],ROW()-ROW(OfficeVariances[[#Headers],[4월]]),1),INDEX(사무실계획[],,1),0),MATCH(OfficeVariances[[#Headers],[4월]],사무실_실비[#Headers],0))</f>
        <v>5</v>
      </c>
      <c r="G15" s="42">
        <f>INDEX(사무실계획[],MATCH(INDEX(OfficeVariances[],ROW()-ROW(OfficeVariances[[#Headers],[5월]]),1),INDEX(사무실계획[],,1),0),MATCH(OfficeVariances[[#Headers],[5월]],사무실계획[#Headers],0))-INDEX(사무실_실비[],MATCH(INDEX(OfficeVariances[],ROW()-ROW(OfficeVariances[[#Headers],[5월]]),1),INDEX(사무실계획[],,1),0),MATCH(OfficeVariances[[#Headers],[5월]],사무실_실비[#Headers],0))</f>
        <v>5</v>
      </c>
      <c r="H15" s="42">
        <f>INDEX(사무실계획[],MATCH(INDEX(OfficeVariances[],ROW()-ROW(OfficeVariances[[#Headers],[6월]]),1),INDEX(사무실계획[],,1),0),MATCH(OfficeVariances[[#Headers],[6월]],사무실계획[#Headers],0))-INDEX(사무실_실비[],MATCH(INDEX(OfficeVariances[],ROW()-ROW(OfficeVariances[[#Headers],[6월]]),1),INDEX(사무실계획[],,1),0),MATCH(OfficeVariances[[#Headers],[6월]],사무실_실비[#Headers],0))</f>
        <v>30</v>
      </c>
      <c r="I15" s="42">
        <f>INDEX(사무실계획[],MATCH(INDEX(OfficeVariances[],ROW()-ROW(OfficeVariances[[#Headers],[7월]]),1),INDEX(사무실계획[],,1),0),MATCH(OfficeVariances[[#Headers],[7월]],사무실계획[#Headers],0))-INDEX(사무실_실비[],MATCH(INDEX(OfficeVariances[],ROW()-ROW(OfficeVariances[[#Headers],[7월]]),1),INDEX(사무실계획[],,1),0),MATCH(OfficeVariances[[#Headers],[7월]],사무실_실비[#Headers],0))</f>
        <v>250</v>
      </c>
      <c r="J15" s="42">
        <f>INDEX(사무실계획[],MATCH(INDEX(OfficeVariances[],ROW()-ROW(OfficeVariances[[#Headers],[8월]]),1),INDEX(사무실계획[],,1),0),MATCH(OfficeVariances[[#Headers],[8월]],사무실계획[#Headers],0))-INDEX(사무실_실비[],MATCH(INDEX(OfficeVariances[],ROW()-ROW(OfficeVariances[[#Headers],[8월]]),1),INDEX(사무실계획[],,1),0),MATCH(OfficeVariances[[#Headers],[8월]],사무실_실비[#Headers],0))</f>
        <v>250</v>
      </c>
      <c r="K15" s="42">
        <f>INDEX(사무실계획[],MATCH(INDEX(OfficeVariances[],ROW()-ROW(OfficeVariances[[#Headers],[9월]]),1),INDEX(사무실계획[],,1),0),MATCH(OfficeVariances[[#Headers],[9월]],사무실계획[#Headers],0))-INDEX(사무실_실비[],MATCH(INDEX(OfficeVariances[],ROW()-ROW(OfficeVariances[[#Headers],[9월]]),1),INDEX(사무실계획[],,1),0),MATCH(OfficeVariances[[#Headers],[9월]],사무실_실비[#Headers],0))</f>
        <v>250</v>
      </c>
      <c r="L15" s="42">
        <f>INDEX(사무실계획[],MATCH(INDEX(OfficeVariances[],ROW()-ROW(OfficeVariances[[#Headers],[10월]]),1),INDEX(사무실계획[],,1),0),MATCH(OfficeVariances[[#Headers],[10월]],사무실계획[#Headers],0))-INDEX(사무실_실비[],MATCH(INDEX(OfficeVariances[],ROW()-ROW(OfficeVariances[[#Headers],[10월]]),1),INDEX(사무실계획[],,1),0),MATCH(OfficeVariances[[#Headers],[10월]],사무실_실비[#Headers],0))</f>
        <v>250</v>
      </c>
      <c r="M15" s="42">
        <f>INDEX(사무실계획[],MATCH(INDEX(OfficeVariances[],ROW()-ROW(OfficeVariances[[#Headers],[11월]]),1),INDEX(사무실계획[],,1),0),MATCH(OfficeVariances[[#Headers],[11월]],사무실계획[#Headers],0))-INDEX(사무실_실비[],MATCH(INDEX(OfficeVariances[],ROW()-ROW(OfficeVariances[[#Headers],[11월]]),1),INDEX(사무실계획[],,1),0),MATCH(OfficeVariances[[#Headers],[11월]],사무실_실비[#Headers],0))</f>
        <v>250</v>
      </c>
      <c r="N15" s="42">
        <f>INDEX(사무실계획[],MATCH(INDEX(OfficeVariances[],ROW()-ROW(OfficeVariances[[#Headers],[12월]]),1),INDEX(사무실계획[],,1),0),MATCH(OfficeVariances[[#Headers],[12월]],사무실계획[#Headers],0))-INDEX(사무실_실비[],MATCH(INDEX(OfficeVariances[],ROW()-ROW(OfficeVariances[[#Headers],[12월]]),1),INDEX(사무실계획[],,1),0),MATCH(OfficeVariances[[#Headers],[12월]],사무실_실비[#Headers],0))</f>
        <v>250</v>
      </c>
      <c r="O15" s="43">
        <f>SUM(OfficeVariances[[#This Row],[1월]:[12월]])</f>
        <v>1566</v>
      </c>
    </row>
    <row r="16" spans="1:16" ht="24.9" customHeight="1" thickBot="1">
      <c r="A16" s="13"/>
      <c r="B16" s="32" t="s">
        <v>11</v>
      </c>
      <c r="C16" s="42">
        <f>INDEX(사무실계획[],MATCH(INDEX(OfficeVariances[],ROW()-ROW(OfficeVariances[[#Headers],[1월]]),1),INDEX(사무실계획[],,1),0),MATCH(OfficeVariances[[#Headers],[1월]],사무실계획[#Headers],0))-INDEX(사무실_실비[],MATCH(INDEX(OfficeVariances[],ROW()-ROW(OfficeVariances[[#Headers],[1월]]),1),INDEX(사무실계획[],,1),0),MATCH(OfficeVariances[[#Headers],[1월]],사무실_실비[#Headers],0))</f>
        <v>0</v>
      </c>
      <c r="D16" s="42">
        <f>INDEX(사무실계획[],MATCH(INDEX(OfficeVariances[],ROW()-ROW(OfficeVariances[[#Headers],[2월]]),1),INDEX(사무실계획[],,1),0),MATCH(OfficeVariances[[#Headers],[2월]],사무실계획[#Headers],0))-INDEX(사무실_실비[],MATCH(INDEX(OfficeVariances[],ROW()-ROW(OfficeVariances[[#Headers],[2월]]),1),INDEX(사무실계획[],,1),0),MATCH(OfficeVariances[[#Headers],[2월]],사무실_실비[#Headers],0))</f>
        <v>0</v>
      </c>
      <c r="E16" s="42">
        <f>INDEX(사무실계획[],MATCH(INDEX(OfficeVariances[],ROW()-ROW(OfficeVariances[[#Headers],[3월]]),1),INDEX(사무실계획[],,1),0),MATCH(OfficeVariances[[#Headers],[3월]],사무실계획[#Headers],0))-INDEX(사무실_실비[],MATCH(INDEX(OfficeVariances[],ROW()-ROW(OfficeVariances[[#Headers],[3월]]),1),INDEX(사무실계획[],,1),0),MATCH(OfficeVariances[[#Headers],[3월]],사무실_실비[#Headers],0))</f>
        <v>0</v>
      </c>
      <c r="F16" s="42">
        <f>INDEX(사무실계획[],MATCH(INDEX(OfficeVariances[],ROW()-ROW(OfficeVariances[[#Headers],[4월]]),1),INDEX(사무실계획[],,1),0),MATCH(OfficeVariances[[#Headers],[4월]],사무실계획[#Headers],0))-INDEX(사무실_실비[],MATCH(INDEX(OfficeVariances[],ROW()-ROW(OfficeVariances[[#Headers],[4월]]),1),INDEX(사무실계획[],,1),0),MATCH(OfficeVariances[[#Headers],[4월]],사무실_실비[#Headers],0))</f>
        <v>0</v>
      </c>
      <c r="G16" s="42">
        <f>INDEX(사무실계획[],MATCH(INDEX(OfficeVariances[],ROW()-ROW(OfficeVariances[[#Headers],[5월]]),1),INDEX(사무실계획[],,1),0),MATCH(OfficeVariances[[#Headers],[5월]],사무실계획[#Headers],0))-INDEX(사무실_실비[],MATCH(INDEX(OfficeVariances[],ROW()-ROW(OfficeVariances[[#Headers],[5월]]),1),INDEX(사무실계획[],,1),0),MATCH(OfficeVariances[[#Headers],[5월]],사무실_실비[#Headers],0))</f>
        <v>0</v>
      </c>
      <c r="H16" s="42">
        <f>INDEX(사무실계획[],MATCH(INDEX(OfficeVariances[],ROW()-ROW(OfficeVariances[[#Headers],[6월]]),1),INDEX(사무실계획[],,1),0),MATCH(OfficeVariances[[#Headers],[6월]],사무실계획[#Headers],0))-INDEX(사무실_실비[],MATCH(INDEX(OfficeVariances[],ROW()-ROW(OfficeVariances[[#Headers],[6월]]),1),INDEX(사무실계획[],,1),0),MATCH(OfficeVariances[[#Headers],[6월]],사무실_실비[#Headers],0))</f>
        <v>0</v>
      </c>
      <c r="I16" s="42">
        <f>INDEX(사무실계획[],MATCH(INDEX(OfficeVariances[],ROW()-ROW(OfficeVariances[[#Headers],[7월]]),1),INDEX(사무실계획[],,1),0),MATCH(OfficeVariances[[#Headers],[7월]],사무실계획[#Headers],0))-INDEX(사무실_실비[],MATCH(INDEX(OfficeVariances[],ROW()-ROW(OfficeVariances[[#Headers],[7월]]),1),INDEX(사무실계획[],,1),0),MATCH(OfficeVariances[[#Headers],[7월]],사무실_실비[#Headers],0))</f>
        <v>180</v>
      </c>
      <c r="J16" s="42">
        <f>INDEX(사무실계획[],MATCH(INDEX(OfficeVariances[],ROW()-ROW(OfficeVariances[[#Headers],[8월]]),1),INDEX(사무실계획[],,1),0),MATCH(OfficeVariances[[#Headers],[8월]],사무실계획[#Headers],0))-INDEX(사무실_실비[],MATCH(INDEX(OfficeVariances[],ROW()-ROW(OfficeVariances[[#Headers],[8월]]),1),INDEX(사무실계획[],,1),0),MATCH(OfficeVariances[[#Headers],[8월]],사무실_실비[#Headers],0))</f>
        <v>180</v>
      </c>
      <c r="K16" s="42">
        <f>INDEX(사무실계획[],MATCH(INDEX(OfficeVariances[],ROW()-ROW(OfficeVariances[[#Headers],[9월]]),1),INDEX(사무실계획[],,1),0),MATCH(OfficeVariances[[#Headers],[9월]],사무실계획[#Headers],0))-INDEX(사무실_실비[],MATCH(INDEX(OfficeVariances[],ROW()-ROW(OfficeVariances[[#Headers],[9월]]),1),INDEX(사무실계획[],,1),0),MATCH(OfficeVariances[[#Headers],[9월]],사무실_실비[#Headers],0))</f>
        <v>180</v>
      </c>
      <c r="L16" s="42">
        <f>INDEX(사무실계획[],MATCH(INDEX(OfficeVariances[],ROW()-ROW(OfficeVariances[[#Headers],[10월]]),1),INDEX(사무실계획[],,1),0),MATCH(OfficeVariances[[#Headers],[10월]],사무실계획[#Headers],0))-INDEX(사무실_실비[],MATCH(INDEX(OfficeVariances[],ROW()-ROW(OfficeVariances[[#Headers],[10월]]),1),INDEX(사무실계획[],,1),0),MATCH(OfficeVariances[[#Headers],[10월]],사무실_실비[#Headers],0))</f>
        <v>180</v>
      </c>
      <c r="M16" s="42">
        <f>INDEX(사무실계획[],MATCH(INDEX(OfficeVariances[],ROW()-ROW(OfficeVariances[[#Headers],[11월]]),1),INDEX(사무실계획[],,1),0),MATCH(OfficeVariances[[#Headers],[11월]],사무실계획[#Headers],0))-INDEX(사무실_실비[],MATCH(INDEX(OfficeVariances[],ROW()-ROW(OfficeVariances[[#Headers],[11월]]),1),INDEX(사무실계획[],,1),0),MATCH(OfficeVariances[[#Headers],[11월]],사무실_실비[#Headers],0))</f>
        <v>180</v>
      </c>
      <c r="N16" s="42">
        <f>INDEX(사무실계획[],MATCH(INDEX(OfficeVariances[],ROW()-ROW(OfficeVariances[[#Headers],[12월]]),1),INDEX(사무실계획[],,1),0),MATCH(OfficeVariances[[#Headers],[12월]],사무실계획[#Headers],0))-INDEX(사무실_실비[],MATCH(INDEX(OfficeVariances[],ROW()-ROW(OfficeVariances[[#Headers],[12월]]),1),INDEX(사무실계획[],,1),0),MATCH(OfficeVariances[[#Headers],[12월]],사무실_실비[#Headers],0))</f>
        <v>180</v>
      </c>
      <c r="O16" s="43">
        <f>SUM(OfficeVariances[[#This Row],[1월]:[12월]])</f>
        <v>1080</v>
      </c>
    </row>
    <row r="17" spans="1:15" ht="24.9" customHeight="1" thickBot="1">
      <c r="A17" s="13"/>
      <c r="B17" s="32" t="s">
        <v>12</v>
      </c>
      <c r="C17" s="42">
        <f>INDEX(사무실계획[],MATCH(INDEX(OfficeVariances[],ROW()-ROW(OfficeVariances[[#Headers],[1월]]),1),INDEX(사무실계획[],,1),0),MATCH(OfficeVariances[[#Headers],[1월]],사무실계획[#Headers],0))-INDEX(사무실_실비[],MATCH(INDEX(OfficeVariances[],ROW()-ROW(OfficeVariances[[#Headers],[1월]]),1),INDEX(사무실계획[],,1),0),MATCH(OfficeVariances[[#Headers],[1월]],사무실_실비[#Headers],0))</f>
        <v>-56</v>
      </c>
      <c r="D17" s="42">
        <f>INDEX(사무실계획[],MATCH(INDEX(OfficeVariances[],ROW()-ROW(OfficeVariances[[#Headers],[2월]]),1),INDEX(사무실계획[],,1),0),MATCH(OfficeVariances[[#Headers],[2월]],사무실계획[#Headers],0))-INDEX(사무실_실비[],MATCH(INDEX(OfficeVariances[],ROW()-ROW(OfficeVariances[[#Headers],[2월]]),1),INDEX(사무실계획[],,1),0),MATCH(OfficeVariances[[#Headers],[2월]],사무실_실비[#Headers],0))</f>
        <v>58</v>
      </c>
      <c r="E17" s="42">
        <f>INDEX(사무실계획[],MATCH(INDEX(OfficeVariances[],ROW()-ROW(OfficeVariances[[#Headers],[3월]]),1),INDEX(사무실계획[],,1),0),MATCH(OfficeVariances[[#Headers],[3월]],사무실계획[#Headers],0))-INDEX(사무실_실비[],MATCH(INDEX(OfficeVariances[],ROW()-ROW(OfficeVariances[[#Headers],[3월]]),1),INDEX(사무실계획[],,1),0),MATCH(OfficeVariances[[#Headers],[3월]],사무실_실비[#Headers],0))</f>
        <v>40</v>
      </c>
      <c r="F17" s="42">
        <f>INDEX(사무실계획[],MATCH(INDEX(OfficeVariances[],ROW()-ROW(OfficeVariances[[#Headers],[4월]]),1),INDEX(사무실계획[],,1),0),MATCH(OfficeVariances[[#Headers],[4월]],사무실계획[#Headers],0))-INDEX(사무실_실비[],MATCH(INDEX(OfficeVariances[],ROW()-ROW(OfficeVariances[[#Headers],[4월]]),1),INDEX(사무실계획[],,1),0),MATCH(OfficeVariances[[#Headers],[4월]],사무실_실비[#Headers],0))</f>
        <v>-21</v>
      </c>
      <c r="G17" s="42">
        <f>INDEX(사무실계획[],MATCH(INDEX(OfficeVariances[],ROW()-ROW(OfficeVariances[[#Headers],[5월]]),1),INDEX(사무실계획[],,1),0),MATCH(OfficeVariances[[#Headers],[5월]],사무실계획[#Headers],0))-INDEX(사무실_실비[],MATCH(INDEX(OfficeVariances[],ROW()-ROW(OfficeVariances[[#Headers],[5월]]),1),INDEX(사무실계획[],,1),0),MATCH(OfficeVariances[[#Headers],[5월]],사무실_실비[#Headers],0))</f>
        <v>-56</v>
      </c>
      <c r="H17" s="42">
        <f>INDEX(사무실계획[],MATCH(INDEX(OfficeVariances[],ROW()-ROW(OfficeVariances[[#Headers],[6월]]),1),INDEX(사무실계획[],,1),0),MATCH(OfficeVariances[[#Headers],[6월]],사무실계획[#Headers],0))-INDEX(사무실_실비[],MATCH(INDEX(OfficeVariances[],ROW()-ROW(OfficeVariances[[#Headers],[6월]]),1),INDEX(사무실계획[],,1),0),MATCH(OfficeVariances[[#Headers],[6월]],사무실_실비[#Headers],0))</f>
        <v>-40</v>
      </c>
      <c r="I17" s="42">
        <f>INDEX(사무실계획[],MATCH(INDEX(OfficeVariances[],ROW()-ROW(OfficeVariances[[#Headers],[7월]]),1),INDEX(사무실계획[],,1),0),MATCH(OfficeVariances[[#Headers],[7월]],사무실계획[#Headers],0))-INDEX(사무실_실비[],MATCH(INDEX(OfficeVariances[],ROW()-ROW(OfficeVariances[[#Headers],[7월]]),1),INDEX(사무실계획[],,1),0),MATCH(OfficeVariances[[#Headers],[7월]],사무실_실비[#Headers],0))</f>
        <v>200</v>
      </c>
      <c r="J17" s="42">
        <f>INDEX(사무실계획[],MATCH(INDEX(OfficeVariances[],ROW()-ROW(OfficeVariances[[#Headers],[8월]]),1),INDEX(사무실계획[],,1),0),MATCH(OfficeVariances[[#Headers],[8월]],사무실계획[#Headers],0))-INDEX(사무실_실비[],MATCH(INDEX(OfficeVariances[],ROW()-ROW(OfficeVariances[[#Headers],[8월]]),1),INDEX(사무실계획[],,1),0),MATCH(OfficeVariances[[#Headers],[8월]],사무실_실비[#Headers],0))</f>
        <v>200</v>
      </c>
      <c r="K17" s="42">
        <f>INDEX(사무실계획[],MATCH(INDEX(OfficeVariances[],ROW()-ROW(OfficeVariances[[#Headers],[9월]]),1),INDEX(사무실계획[],,1),0),MATCH(OfficeVariances[[#Headers],[9월]],사무실계획[#Headers],0))-INDEX(사무실_실비[],MATCH(INDEX(OfficeVariances[],ROW()-ROW(OfficeVariances[[#Headers],[9월]]),1),INDEX(사무실계획[],,1),0),MATCH(OfficeVariances[[#Headers],[9월]],사무실_실비[#Headers],0))</f>
        <v>200</v>
      </c>
      <c r="L17" s="42">
        <f>INDEX(사무실계획[],MATCH(INDEX(OfficeVariances[],ROW()-ROW(OfficeVariances[[#Headers],[10월]]),1),INDEX(사무실계획[],,1),0),MATCH(OfficeVariances[[#Headers],[10월]],사무실계획[#Headers],0))-INDEX(사무실_실비[],MATCH(INDEX(OfficeVariances[],ROW()-ROW(OfficeVariances[[#Headers],[10월]]),1),INDEX(사무실계획[],,1),0),MATCH(OfficeVariances[[#Headers],[10월]],사무실_실비[#Headers],0))</f>
        <v>200</v>
      </c>
      <c r="M17" s="42">
        <f>INDEX(사무실계획[],MATCH(INDEX(OfficeVariances[],ROW()-ROW(OfficeVariances[[#Headers],[11월]]),1),INDEX(사무실계획[],,1),0),MATCH(OfficeVariances[[#Headers],[11월]],사무실계획[#Headers],0))-INDEX(사무실_실비[],MATCH(INDEX(OfficeVariances[],ROW()-ROW(OfficeVariances[[#Headers],[11월]]),1),INDEX(사무실계획[],,1),0),MATCH(OfficeVariances[[#Headers],[11월]],사무실_실비[#Headers],0))</f>
        <v>200</v>
      </c>
      <c r="N17" s="42">
        <f>INDEX(사무실계획[],MATCH(INDEX(OfficeVariances[],ROW()-ROW(OfficeVariances[[#Headers],[12월]]),1),INDEX(사무실계획[],,1),0),MATCH(OfficeVariances[[#Headers],[12월]],사무실계획[#Headers],0))-INDEX(사무실_실비[],MATCH(INDEX(OfficeVariances[],ROW()-ROW(OfficeVariances[[#Headers],[12월]]),1),INDEX(사무실계획[],,1),0),MATCH(OfficeVariances[[#Headers],[12월]],사무실_실비[#Headers],0))</f>
        <v>200</v>
      </c>
      <c r="O17" s="43">
        <f>SUM(OfficeVariances[[#This Row],[1월]:[12월]])</f>
        <v>1125</v>
      </c>
    </row>
    <row r="18" spans="1:15" ht="24.9" customHeight="1" thickBot="1">
      <c r="A18" s="13"/>
      <c r="B18" s="32" t="s">
        <v>13</v>
      </c>
      <c r="C18" s="42">
        <f>INDEX(사무실계획[],MATCH(INDEX(OfficeVariances[],ROW()-ROW(OfficeVariances[[#Headers],[1월]]),1),INDEX(사무실계획[],,1),0),MATCH(OfficeVariances[[#Headers],[1월]],사무실계획[#Headers],0))-INDEX(사무실_실비[],MATCH(INDEX(OfficeVariances[],ROW()-ROW(OfficeVariances[[#Headers],[1월]]),1),INDEX(사무실계획[],,1),0),MATCH(OfficeVariances[[#Headers],[1월]],사무실_실비[#Headers],0))</f>
        <v>0</v>
      </c>
      <c r="D18" s="42">
        <f>INDEX(사무실계획[],MATCH(INDEX(OfficeVariances[],ROW()-ROW(OfficeVariances[[#Headers],[2월]]),1),INDEX(사무실계획[],,1),0),MATCH(OfficeVariances[[#Headers],[2월]],사무실계획[#Headers],0))-INDEX(사무실_실비[],MATCH(INDEX(OfficeVariances[],ROW()-ROW(OfficeVariances[[#Headers],[2월]]),1),INDEX(사무실계획[],,1),0),MATCH(OfficeVariances[[#Headers],[2월]],사무실_실비[#Headers],0))</f>
        <v>0</v>
      </c>
      <c r="E18" s="42">
        <f>INDEX(사무실계획[],MATCH(INDEX(OfficeVariances[],ROW()-ROW(OfficeVariances[[#Headers],[3월]]),1),INDEX(사무실계획[],,1),0),MATCH(OfficeVariances[[#Headers],[3월]],사무실계획[#Headers],0))-INDEX(사무실_실비[],MATCH(INDEX(OfficeVariances[],ROW()-ROW(OfficeVariances[[#Headers],[3월]]),1),INDEX(사무실계획[],,1),0),MATCH(OfficeVariances[[#Headers],[3월]],사무실_실비[#Headers],0))</f>
        <v>0</v>
      </c>
      <c r="F18" s="42">
        <f>INDEX(사무실계획[],MATCH(INDEX(OfficeVariances[],ROW()-ROW(OfficeVariances[[#Headers],[4월]]),1),INDEX(사무실계획[],,1),0),MATCH(OfficeVariances[[#Headers],[4월]],사무실계획[#Headers],0))-INDEX(사무실_실비[],MATCH(INDEX(OfficeVariances[],ROW()-ROW(OfficeVariances[[#Headers],[4월]]),1),INDEX(사무실계획[],,1),0),MATCH(OfficeVariances[[#Headers],[4월]],사무실_실비[#Headers],0))</f>
        <v>0</v>
      </c>
      <c r="G18" s="42">
        <f>INDEX(사무실계획[],MATCH(INDEX(OfficeVariances[],ROW()-ROW(OfficeVariances[[#Headers],[5월]]),1),INDEX(사무실계획[],,1),0),MATCH(OfficeVariances[[#Headers],[5월]],사무실계획[#Headers],0))-INDEX(사무실_실비[],MATCH(INDEX(OfficeVariances[],ROW()-ROW(OfficeVariances[[#Headers],[5월]]),1),INDEX(사무실계획[],,1),0),MATCH(OfficeVariances[[#Headers],[5월]],사무실_실비[#Headers],0))</f>
        <v>0</v>
      </c>
      <c r="H18" s="42">
        <f>INDEX(사무실계획[],MATCH(INDEX(OfficeVariances[],ROW()-ROW(OfficeVariances[[#Headers],[6월]]),1),INDEX(사무실계획[],,1),0),MATCH(OfficeVariances[[#Headers],[6월]],사무실계획[#Headers],0))-INDEX(사무실_실비[],MATCH(INDEX(OfficeVariances[],ROW()-ROW(OfficeVariances[[#Headers],[6월]]),1),INDEX(사무실계획[],,1),0),MATCH(OfficeVariances[[#Headers],[6월]],사무실_실비[#Headers],0))</f>
        <v>0</v>
      </c>
      <c r="I18" s="42">
        <f>INDEX(사무실계획[],MATCH(INDEX(OfficeVariances[],ROW()-ROW(OfficeVariances[[#Headers],[7월]]),1),INDEX(사무실계획[],,1),0),MATCH(OfficeVariances[[#Headers],[7월]],사무실계획[#Headers],0))-INDEX(사무실_실비[],MATCH(INDEX(OfficeVariances[],ROW()-ROW(OfficeVariances[[#Headers],[7월]]),1),INDEX(사무실계획[],,1),0),MATCH(OfficeVariances[[#Headers],[7월]],사무실_실비[#Headers],0))</f>
        <v>600</v>
      </c>
      <c r="J18" s="42">
        <f>INDEX(사무실계획[],MATCH(INDEX(OfficeVariances[],ROW()-ROW(OfficeVariances[[#Headers],[8월]]),1),INDEX(사무실계획[],,1),0),MATCH(OfficeVariances[[#Headers],[8월]],사무실계획[#Headers],0))-INDEX(사무실_실비[],MATCH(INDEX(OfficeVariances[],ROW()-ROW(OfficeVariances[[#Headers],[8월]]),1),INDEX(사무실계획[],,1),0),MATCH(OfficeVariances[[#Headers],[8월]],사무실_실비[#Headers],0))</f>
        <v>600</v>
      </c>
      <c r="K18" s="42">
        <f>INDEX(사무실계획[],MATCH(INDEX(OfficeVariances[],ROW()-ROW(OfficeVariances[[#Headers],[9월]]),1),INDEX(사무실계획[],,1),0),MATCH(OfficeVariances[[#Headers],[9월]],사무실계획[#Headers],0))-INDEX(사무실_실비[],MATCH(INDEX(OfficeVariances[],ROW()-ROW(OfficeVariances[[#Headers],[9월]]),1),INDEX(사무실계획[],,1),0),MATCH(OfficeVariances[[#Headers],[9월]],사무실_실비[#Headers],0))</f>
        <v>600</v>
      </c>
      <c r="L18" s="42">
        <f>INDEX(사무실계획[],MATCH(INDEX(OfficeVariances[],ROW()-ROW(OfficeVariances[[#Headers],[10월]]),1),INDEX(사무실계획[],,1),0),MATCH(OfficeVariances[[#Headers],[10월]],사무실계획[#Headers],0))-INDEX(사무실_실비[],MATCH(INDEX(OfficeVariances[],ROW()-ROW(OfficeVariances[[#Headers],[10월]]),1),INDEX(사무실계획[],,1),0),MATCH(OfficeVariances[[#Headers],[10월]],사무실_실비[#Headers],0))</f>
        <v>600</v>
      </c>
      <c r="M18" s="42">
        <f>INDEX(사무실계획[],MATCH(INDEX(OfficeVariances[],ROW()-ROW(OfficeVariances[[#Headers],[11월]]),1),INDEX(사무실계획[],,1),0),MATCH(OfficeVariances[[#Headers],[11월]],사무실계획[#Headers],0))-INDEX(사무실_실비[],MATCH(INDEX(OfficeVariances[],ROW()-ROW(OfficeVariances[[#Headers],[11월]]),1),INDEX(사무실계획[],,1),0),MATCH(OfficeVariances[[#Headers],[11월]],사무실_실비[#Headers],0))</f>
        <v>600</v>
      </c>
      <c r="N18" s="42">
        <f>INDEX(사무실계획[],MATCH(INDEX(OfficeVariances[],ROW()-ROW(OfficeVariances[[#Headers],[12월]]),1),INDEX(사무실계획[],,1),0),MATCH(OfficeVariances[[#Headers],[12월]],사무실계획[#Headers],0))-INDEX(사무실_실비[],MATCH(INDEX(OfficeVariances[],ROW()-ROW(OfficeVariances[[#Headers],[12월]]),1),INDEX(사무실계획[],,1),0),MATCH(OfficeVariances[[#Headers],[12월]],사무실_실비[#Headers],0))</f>
        <v>600</v>
      </c>
      <c r="O18" s="43">
        <f>SUM(OfficeVariances[[#This Row],[1월]:[12월]])</f>
        <v>3600</v>
      </c>
    </row>
    <row r="19" spans="1:15" ht="24.9" customHeight="1">
      <c r="A19" s="13"/>
      <c r="B19" s="33" t="s">
        <v>4</v>
      </c>
      <c r="C19" s="50">
        <f>SUBTOTAL(109,OfficeVariances[1월])</f>
        <v>-17</v>
      </c>
      <c r="D19" s="47">
        <f>SUBTOTAL(109,OfficeVariances[2월])</f>
        <v>72</v>
      </c>
      <c r="E19" s="47">
        <f>SUBTOTAL(109,OfficeVariances[3월])</f>
        <v>78</v>
      </c>
      <c r="F19" s="47">
        <f>SUBTOTAL(109,OfficeVariances[4월])</f>
        <v>-141</v>
      </c>
      <c r="G19" s="47">
        <f>SUBTOTAL(109,OfficeVariances[5월])</f>
        <v>-38</v>
      </c>
      <c r="H19" s="47">
        <f>SUBTOTAL(109,OfficeVariances[6월])</f>
        <v>16</v>
      </c>
      <c r="I19" s="47">
        <f>SUBTOTAL(109,OfficeVariances[7월])</f>
        <v>11470</v>
      </c>
      <c r="J19" s="47">
        <f>SUBTOTAL(109,OfficeVariances[8월])</f>
        <v>11470</v>
      </c>
      <c r="K19" s="47">
        <f>SUBTOTAL(109,OfficeVariances[9월])</f>
        <v>11470</v>
      </c>
      <c r="L19" s="47">
        <f>SUBTOTAL(109,OfficeVariances[10월])</f>
        <v>11470</v>
      </c>
      <c r="M19" s="47">
        <f>SUBTOTAL(109,OfficeVariances[11월])</f>
        <v>11770</v>
      </c>
      <c r="N19" s="47">
        <f>SUBTOTAL(109,OfficeVariances[12월])</f>
        <v>11770</v>
      </c>
      <c r="O19" s="48">
        <f>SUBTOTAL(109,OfficeVariances[연도])</f>
        <v>69390</v>
      </c>
    </row>
    <row r="20" spans="1:15" ht="21" customHeight="1">
      <c r="A20" s="13"/>
      <c r="B20" s="20"/>
      <c r="C20" s="20"/>
      <c r="D20" s="44"/>
      <c r="E20" s="44"/>
      <c r="F20" s="46"/>
      <c r="G20" s="46"/>
      <c r="H20" s="46"/>
      <c r="I20" s="46"/>
      <c r="J20" s="46"/>
      <c r="K20" s="46"/>
      <c r="L20" s="46"/>
      <c r="M20" s="46"/>
      <c r="N20" s="46"/>
      <c r="O20" s="45"/>
    </row>
    <row r="21" spans="1:15" ht="24.9" customHeight="1" thickBot="1">
      <c r="A21" s="13"/>
      <c r="B21" s="21" t="s">
        <v>14</v>
      </c>
      <c r="C21" s="22" t="s">
        <v>27</v>
      </c>
      <c r="D21" s="22" t="s">
        <v>28</v>
      </c>
      <c r="E21" s="23" t="s">
        <v>29</v>
      </c>
      <c r="F21" s="22" t="s">
        <v>30</v>
      </c>
      <c r="G21" s="22" t="s">
        <v>31</v>
      </c>
      <c r="H21" s="22" t="s">
        <v>32</v>
      </c>
      <c r="I21" s="22" t="s">
        <v>33</v>
      </c>
      <c r="J21" s="22" t="s">
        <v>34</v>
      </c>
      <c r="K21" s="22" t="s">
        <v>37</v>
      </c>
      <c r="L21" s="22" t="s">
        <v>38</v>
      </c>
      <c r="M21" s="22" t="s">
        <v>39</v>
      </c>
      <c r="N21" s="22" t="s">
        <v>40</v>
      </c>
      <c r="O21" s="24" t="s">
        <v>41</v>
      </c>
    </row>
    <row r="22" spans="1:15" ht="24.9" customHeight="1" thickBot="1">
      <c r="A22" s="13"/>
      <c r="B22" s="32" t="s">
        <v>15</v>
      </c>
      <c r="C22" s="42">
        <f>INDEX(마케팅계획[],MATCH(INDEX(MarketingVariances[],ROW()-ROW(MarketingVariances[[#Headers],[1월]]),1),INDEX(마케팅계획[],,1),0),MATCH(MarketingVariances[[#Headers],[1월]],마케팅계획[#Headers],0))-INDEX(마케팅_실비[],MATCH(INDEX(MarketingVariances[],ROW()-ROW(MarketingVariances[[#Headers],[1월]]),1),INDEX(마케팅계획[],,1),0),MATCH(MarketingVariances[[#Headers],[1월]],마케팅_실비[#Headers],0))</f>
        <v>0</v>
      </c>
      <c r="D22" s="42">
        <f>INDEX(마케팅계획[],MATCH(INDEX(MarketingVariances[],ROW()-ROW(MarketingVariances[[#Headers],[2월]]),1),INDEX(마케팅계획[],,1),0),MATCH(MarketingVariances[[#Headers],[2월]],마케팅계획[#Headers],0))-INDEX(마케팅_실비[],MATCH(INDEX(MarketingVariances[],ROW()-ROW(MarketingVariances[[#Headers],[2월]]),1),INDEX(마케팅계획[],,1),0),MATCH(MarketingVariances[[#Headers],[2월]],마케팅_실비[#Headers],0))</f>
        <v>0</v>
      </c>
      <c r="E22" s="42">
        <f>INDEX(마케팅계획[],MATCH(INDEX(MarketingVariances[],ROW()-ROW(MarketingVariances[[#Headers],[3월]]),1),INDEX(마케팅계획[],,1),0),MATCH(MarketingVariances[[#Headers],[3월]],마케팅계획[#Headers],0))-INDEX(마케팅_실비[],MATCH(INDEX(MarketingVariances[],ROW()-ROW(MarketingVariances[[#Headers],[3월]]),1),INDEX(마케팅계획[],,1),0),MATCH(MarketingVariances[[#Headers],[3월]],마케팅_실비[#Headers],0))</f>
        <v>0</v>
      </c>
      <c r="F22" s="42">
        <f>INDEX(마케팅계획[],MATCH(INDEX(MarketingVariances[],ROW()-ROW(MarketingVariances[[#Headers],[4월]]),1),INDEX(마케팅계획[],,1),0),MATCH(MarketingVariances[[#Headers],[4월]],마케팅계획[#Headers],0))-INDEX(마케팅_실비[],MATCH(INDEX(MarketingVariances[],ROW()-ROW(MarketingVariances[[#Headers],[4월]]),1),INDEX(마케팅계획[],,1),0),MATCH(MarketingVariances[[#Headers],[4월]],마케팅_실비[#Headers],0))</f>
        <v>0</v>
      </c>
      <c r="G22" s="42">
        <f>INDEX(마케팅계획[],MATCH(INDEX(MarketingVariances[],ROW()-ROW(MarketingVariances[[#Headers],[5월]]),1),INDEX(마케팅계획[],,1),0),MATCH(MarketingVariances[[#Headers],[5월]],마케팅계획[#Headers],0))-INDEX(마케팅_실비[],MATCH(INDEX(MarketingVariances[],ROW()-ROW(MarketingVariances[[#Headers],[5월]]),1),INDEX(마케팅계획[],,1),0),MATCH(MarketingVariances[[#Headers],[5월]],마케팅_실비[#Headers],0))</f>
        <v>0</v>
      </c>
      <c r="H22" s="42">
        <f>INDEX(마케팅계획[],MATCH(INDEX(MarketingVariances[],ROW()-ROW(MarketingVariances[[#Headers],[6월]]),1),INDEX(마케팅계획[],,1),0),MATCH(MarketingVariances[[#Headers],[6월]],마케팅계획[#Headers],0))-INDEX(마케팅_실비[],MATCH(INDEX(MarketingVariances[],ROW()-ROW(MarketingVariances[[#Headers],[6월]]),1),INDEX(마케팅계획[],,1),0),MATCH(MarketingVariances[[#Headers],[6월]],마케팅_실비[#Headers],0))</f>
        <v>0</v>
      </c>
      <c r="I22" s="42">
        <f>INDEX(마케팅계획[],MATCH(INDEX(MarketingVariances[],ROW()-ROW(MarketingVariances[[#Headers],[7월]]),1),INDEX(마케팅계획[],,1),0),MATCH(MarketingVariances[[#Headers],[7월]],마케팅계획[#Headers],0))-INDEX(마케팅_실비[],MATCH(INDEX(MarketingVariances[],ROW()-ROW(MarketingVariances[[#Headers],[7월]]),1),INDEX(마케팅계획[],,1),0),MATCH(MarketingVariances[[#Headers],[7월]],마케팅_실비[#Headers],0))</f>
        <v>500</v>
      </c>
      <c r="J22" s="42">
        <f>INDEX(마케팅계획[],MATCH(INDEX(MarketingVariances[],ROW()-ROW(MarketingVariances[[#Headers],[8월]]),1),INDEX(마케팅계획[],,1),0),MATCH(MarketingVariances[[#Headers],[8월]],마케팅계획[#Headers],0))-INDEX(마케팅_실비[],MATCH(INDEX(MarketingVariances[],ROW()-ROW(MarketingVariances[[#Headers],[8월]]),1),INDEX(마케팅계획[],,1),0),MATCH(MarketingVariances[[#Headers],[8월]],마케팅_실비[#Headers],0))</f>
        <v>500</v>
      </c>
      <c r="K22" s="42">
        <f>INDEX(마케팅계획[],MATCH(INDEX(MarketingVariances[],ROW()-ROW(MarketingVariances[[#Headers],[9월]]),1),INDEX(마케팅계획[],,1),0),MATCH(MarketingVariances[[#Headers],[9월]],마케팅계획[#Headers],0))-INDEX(마케팅_실비[],MATCH(INDEX(MarketingVariances[],ROW()-ROW(MarketingVariances[[#Headers],[9월]]),1),INDEX(마케팅계획[],,1),0),MATCH(MarketingVariances[[#Headers],[9월]],마케팅_실비[#Headers],0))</f>
        <v>500</v>
      </c>
      <c r="L22" s="42">
        <f>INDEX(마케팅계획[],MATCH(INDEX(MarketingVariances[],ROW()-ROW(MarketingVariances[[#Headers],[10월]]),1),INDEX(마케팅계획[],,1),0),MATCH(MarketingVariances[[#Headers],[10월]],마케팅계획[#Headers],0))-INDEX(마케팅_실비[],MATCH(INDEX(MarketingVariances[],ROW()-ROW(MarketingVariances[[#Headers],[10월]]),1),INDEX(마케팅계획[],,1),0),MATCH(MarketingVariances[[#Headers],[10월]],마케팅_실비[#Headers],0))</f>
        <v>500</v>
      </c>
      <c r="M22" s="42">
        <f>INDEX(마케팅계획[],MATCH(INDEX(MarketingVariances[],ROW()-ROW(MarketingVariances[[#Headers],[11월]]),1),INDEX(마케팅계획[],,1),0),MATCH(MarketingVariances[[#Headers],[11월]],마케팅계획[#Headers],0))-INDEX(마케팅_실비[],MATCH(INDEX(MarketingVariances[],ROW()-ROW(MarketingVariances[[#Headers],[11월]]),1),INDEX(마케팅계획[],,1),0),MATCH(MarketingVariances[[#Headers],[11월]],마케팅_실비[#Headers],0))</f>
        <v>500</v>
      </c>
      <c r="N22" s="42">
        <f>INDEX(마케팅계획[],MATCH(INDEX(MarketingVariances[],ROW()-ROW(MarketingVariances[[#Headers],[12월]]),1),INDEX(마케팅계획[],,1),0),MATCH(MarketingVariances[[#Headers],[12월]],마케팅계획[#Headers],0))-INDEX(마케팅_실비[],MATCH(INDEX(MarketingVariances[],ROW()-ROW(MarketingVariances[[#Headers],[12월]]),1),INDEX(마케팅계획[],,1),0),MATCH(MarketingVariances[[#Headers],[12월]],마케팅_실비[#Headers],0))</f>
        <v>500</v>
      </c>
      <c r="O22" s="43">
        <f>SUM(MarketingVariances[[#This Row],[1월]:[12월]])</f>
        <v>3000</v>
      </c>
    </row>
    <row r="23" spans="1:15" ht="24.9" customHeight="1" thickBot="1">
      <c r="A23" s="13"/>
      <c r="B23" s="32" t="s">
        <v>16</v>
      </c>
      <c r="C23" s="42">
        <f>INDEX(마케팅계획[],MATCH(INDEX(MarketingVariances[],ROW()-ROW(MarketingVariances[[#Headers],[1월]]),1),INDEX(마케팅계획[],,1),0),MATCH(MarketingVariances[[#Headers],[1월]],마케팅계획[#Headers],0))-INDEX(마케팅_실비[],MATCH(INDEX(MarketingVariances[],ROW()-ROW(MarketingVariances[[#Headers],[1월]]),1),INDEX(마케팅계획[],,1),0),MATCH(MarketingVariances[[#Headers],[1월]],마케팅_실비[#Headers],0))</f>
        <v>0</v>
      </c>
      <c r="D23" s="42">
        <f>INDEX(마케팅계획[],MATCH(INDEX(MarketingVariances[],ROW()-ROW(MarketingVariances[[#Headers],[2월]]),1),INDEX(마케팅계획[],,1),0),MATCH(MarketingVariances[[#Headers],[2월]],마케팅계획[#Headers],0))-INDEX(마케팅_실비[],MATCH(INDEX(MarketingVariances[],ROW()-ROW(MarketingVariances[[#Headers],[2월]]),1),INDEX(마케팅계획[],,1),0),MATCH(MarketingVariances[[#Headers],[2월]],마케팅_실비[#Headers],0))</f>
        <v>0</v>
      </c>
      <c r="E23" s="42">
        <f>INDEX(마케팅계획[],MATCH(INDEX(MarketingVariances[],ROW()-ROW(MarketingVariances[[#Headers],[3월]]),1),INDEX(마케팅계획[],,1),0),MATCH(MarketingVariances[[#Headers],[3월]],마케팅계획[#Headers],0))-INDEX(마케팅_실비[],MATCH(INDEX(MarketingVariances[],ROW()-ROW(MarketingVariances[[#Headers],[3월]]),1),INDEX(마케팅계획[],,1),0),MATCH(MarketingVariances[[#Headers],[3월]],마케팅_실비[#Headers],0))</f>
        <v>0</v>
      </c>
      <c r="F23" s="42">
        <f>INDEX(마케팅계획[],MATCH(INDEX(MarketingVariances[],ROW()-ROW(MarketingVariances[[#Headers],[4월]]),1),INDEX(마케팅계획[],,1),0),MATCH(MarketingVariances[[#Headers],[4월]],마케팅계획[#Headers],0))-INDEX(마케팅_실비[],MATCH(INDEX(MarketingVariances[],ROW()-ROW(MarketingVariances[[#Headers],[4월]]),1),INDEX(마케팅계획[],,1),0),MATCH(MarketingVariances[[#Headers],[4월]],마케팅_실비[#Headers],0))</f>
        <v>0</v>
      </c>
      <c r="G23" s="42">
        <f>INDEX(마케팅계획[],MATCH(INDEX(MarketingVariances[],ROW()-ROW(MarketingVariances[[#Headers],[5월]]),1),INDEX(마케팅계획[],,1),0),MATCH(MarketingVariances[[#Headers],[5월]],마케팅계획[#Headers],0))-INDEX(마케팅_실비[],MATCH(INDEX(MarketingVariances[],ROW()-ROW(MarketingVariances[[#Headers],[5월]]),1),INDEX(마케팅계획[],,1),0),MATCH(MarketingVariances[[#Headers],[5월]],마케팅_실비[#Headers],0))</f>
        <v>0</v>
      </c>
      <c r="H23" s="42">
        <f>INDEX(마케팅계획[],MATCH(INDEX(MarketingVariances[],ROW()-ROW(MarketingVariances[[#Headers],[6월]]),1),INDEX(마케팅계획[],,1),0),MATCH(MarketingVariances[[#Headers],[6월]],마케팅계획[#Headers],0))-INDEX(마케팅_실비[],MATCH(INDEX(MarketingVariances[],ROW()-ROW(MarketingVariances[[#Headers],[6월]]),1),INDEX(마케팅계획[],,1),0),MATCH(MarketingVariances[[#Headers],[6월]],마케팅_실비[#Headers],0))</f>
        <v>-500</v>
      </c>
      <c r="I23" s="42">
        <f>INDEX(마케팅계획[],MATCH(INDEX(MarketingVariances[],ROW()-ROW(MarketingVariances[[#Headers],[7월]]),1),INDEX(마케팅계획[],,1),0),MATCH(MarketingVariances[[#Headers],[7월]],마케팅계획[#Headers],0))-INDEX(마케팅_실비[],MATCH(INDEX(MarketingVariances[],ROW()-ROW(MarketingVariances[[#Headers],[7월]]),1),INDEX(마케팅계획[],,1),0),MATCH(MarketingVariances[[#Headers],[7월]],마케팅_실비[#Headers],0))</f>
        <v>200</v>
      </c>
      <c r="J23" s="42">
        <f>INDEX(마케팅계획[],MATCH(INDEX(MarketingVariances[],ROW()-ROW(MarketingVariances[[#Headers],[8월]]),1),INDEX(마케팅계획[],,1),0),MATCH(MarketingVariances[[#Headers],[8월]],마케팅계획[#Headers],0))-INDEX(마케팅_실비[],MATCH(INDEX(MarketingVariances[],ROW()-ROW(MarketingVariances[[#Headers],[8월]]),1),INDEX(마케팅계획[],,1),0),MATCH(MarketingVariances[[#Headers],[8월]],마케팅_실비[#Headers],0))</f>
        <v>200</v>
      </c>
      <c r="K23" s="42">
        <f>INDEX(마케팅계획[],MATCH(INDEX(MarketingVariances[],ROW()-ROW(MarketingVariances[[#Headers],[9월]]),1),INDEX(마케팅계획[],,1),0),MATCH(MarketingVariances[[#Headers],[9월]],마케팅계획[#Headers],0))-INDEX(마케팅_실비[],MATCH(INDEX(MarketingVariances[],ROW()-ROW(MarketingVariances[[#Headers],[9월]]),1),INDEX(마케팅계획[],,1),0),MATCH(MarketingVariances[[#Headers],[9월]],마케팅_실비[#Headers],0))</f>
        <v>200</v>
      </c>
      <c r="L23" s="42">
        <f>INDEX(마케팅계획[],MATCH(INDEX(MarketingVariances[],ROW()-ROW(MarketingVariances[[#Headers],[10월]]),1),INDEX(마케팅계획[],,1),0),MATCH(MarketingVariances[[#Headers],[10월]],마케팅계획[#Headers],0))-INDEX(마케팅_실비[],MATCH(INDEX(MarketingVariances[],ROW()-ROW(MarketingVariances[[#Headers],[10월]]),1),INDEX(마케팅계획[],,1),0),MATCH(MarketingVariances[[#Headers],[10월]],마케팅_실비[#Headers],0))</f>
        <v>200</v>
      </c>
      <c r="M23" s="42">
        <f>INDEX(마케팅계획[],MATCH(INDEX(MarketingVariances[],ROW()-ROW(MarketingVariances[[#Headers],[11월]]),1),INDEX(마케팅계획[],,1),0),MATCH(MarketingVariances[[#Headers],[11월]],마케팅계획[#Headers],0))-INDEX(마케팅_실비[],MATCH(INDEX(MarketingVariances[],ROW()-ROW(MarketingVariances[[#Headers],[11월]]),1),INDEX(마케팅계획[],,1),0),MATCH(MarketingVariances[[#Headers],[11월]],마케팅_실비[#Headers],0))</f>
        <v>200</v>
      </c>
      <c r="N23" s="42">
        <f>INDEX(마케팅계획[],MATCH(INDEX(MarketingVariances[],ROW()-ROW(MarketingVariances[[#Headers],[12월]]),1),INDEX(마케팅계획[],,1),0),MATCH(MarketingVariances[[#Headers],[12월]],마케팅계획[#Headers],0))-INDEX(마케팅_실비[],MATCH(INDEX(MarketingVariances[],ROW()-ROW(MarketingVariances[[#Headers],[12월]]),1),INDEX(마케팅계획[],,1),0),MATCH(MarketingVariances[[#Headers],[12월]],마케팅_실비[#Headers],0))</f>
        <v>1000</v>
      </c>
      <c r="O23" s="43">
        <f>SUM(MarketingVariances[[#This Row],[1월]:[12월]])</f>
        <v>1500</v>
      </c>
    </row>
    <row r="24" spans="1:15" ht="24.9" customHeight="1" thickBot="1">
      <c r="A24" s="13"/>
      <c r="B24" s="32" t="s">
        <v>17</v>
      </c>
      <c r="C24" s="42">
        <f>INDEX(마케팅계획[],MATCH(INDEX(MarketingVariances[],ROW()-ROW(MarketingVariances[[#Headers],[1월]]),1),INDEX(마케팅계획[],,1),0),MATCH(MarketingVariances[[#Headers],[1월]],마케팅계획[#Headers],0))-INDEX(마케팅_실비[],MATCH(INDEX(MarketingVariances[],ROW()-ROW(MarketingVariances[[#Headers],[1월]]),1),INDEX(마케팅계획[],,1),0),MATCH(MarketingVariances[[#Headers],[1월]],마케팅_실비[#Headers],0))</f>
        <v>200</v>
      </c>
      <c r="D24" s="42">
        <f>INDEX(마케팅계획[],MATCH(INDEX(MarketingVariances[],ROW()-ROW(MarketingVariances[[#Headers],[2월]]),1),INDEX(마케팅계획[],,1),0),MATCH(MarketingVariances[[#Headers],[2월]],마케팅계획[#Headers],0))-INDEX(마케팅_실비[],MATCH(INDEX(MarketingVariances[],ROW()-ROW(MarketingVariances[[#Headers],[2월]]),1),INDEX(마케팅계획[],,1),0),MATCH(MarketingVariances[[#Headers],[2월]],마케팅_실비[#Headers],0))</f>
        <v>0</v>
      </c>
      <c r="E24" s="42">
        <f>INDEX(마케팅계획[],MATCH(INDEX(MarketingVariances[],ROW()-ROW(MarketingVariances[[#Headers],[3월]]),1),INDEX(마케팅계획[],,1),0),MATCH(MarketingVariances[[#Headers],[3월]],마케팅계획[#Headers],0))-INDEX(마케팅_실비[],MATCH(INDEX(MarketingVariances[],ROW()-ROW(MarketingVariances[[#Headers],[3월]]),1),INDEX(마케팅계획[],,1),0),MATCH(MarketingVariances[[#Headers],[3월]],마케팅_실비[#Headers],0))</f>
        <v>0</v>
      </c>
      <c r="F24" s="42">
        <f>INDEX(마케팅계획[],MATCH(INDEX(MarketingVariances[],ROW()-ROW(MarketingVariances[[#Headers],[4월]]),1),INDEX(마케팅계획[],,1),0),MATCH(MarketingVariances[[#Headers],[4월]],마케팅계획[#Headers],0))-INDEX(마케팅_실비[],MATCH(INDEX(MarketingVariances[],ROW()-ROW(MarketingVariances[[#Headers],[4월]]),1),INDEX(마케팅계획[],,1),0),MATCH(MarketingVariances[[#Headers],[4월]],마케팅_실비[#Headers],0))</f>
        <v>-500</v>
      </c>
      <c r="G24" s="42">
        <f>INDEX(마케팅계획[],MATCH(INDEX(MarketingVariances[],ROW()-ROW(MarketingVariances[[#Headers],[5월]]),1),INDEX(마케팅계획[],,1),0),MATCH(MarketingVariances[[#Headers],[5월]],마케팅계획[#Headers],0))-INDEX(마케팅_실비[],MATCH(INDEX(MarketingVariances[],ROW()-ROW(MarketingVariances[[#Headers],[5월]]),1),INDEX(마케팅계획[],,1),0),MATCH(MarketingVariances[[#Headers],[5월]],마케팅_실비[#Headers],0))</f>
        <v>0</v>
      </c>
      <c r="H24" s="42">
        <f>INDEX(마케팅계획[],MATCH(INDEX(MarketingVariances[],ROW()-ROW(MarketingVariances[[#Headers],[6월]]),1),INDEX(마케팅계획[],,1),0),MATCH(MarketingVariances[[#Headers],[6월]],마케팅계획[#Headers],0))-INDEX(마케팅_실비[],MATCH(INDEX(MarketingVariances[],ROW()-ROW(MarketingVariances[[#Headers],[6월]]),1),INDEX(마케팅계획[],,1),0),MATCH(MarketingVariances[[#Headers],[6월]],마케팅_실비[#Headers],0))</f>
        <v>0</v>
      </c>
      <c r="I24" s="42">
        <f>INDEX(마케팅계획[],MATCH(INDEX(MarketingVariances[],ROW()-ROW(MarketingVariances[[#Headers],[7월]]),1),INDEX(마케팅계획[],,1),0),MATCH(MarketingVariances[[#Headers],[7월]],마케팅계획[#Headers],0))-INDEX(마케팅_실비[],MATCH(INDEX(MarketingVariances[],ROW()-ROW(MarketingVariances[[#Headers],[7월]]),1),INDEX(마케팅계획[],,1),0),MATCH(MarketingVariances[[#Headers],[7월]],마케팅_실비[#Headers],0))</f>
        <v>5000</v>
      </c>
      <c r="J24" s="42">
        <f>INDEX(마케팅계획[],MATCH(INDEX(MarketingVariances[],ROW()-ROW(MarketingVariances[[#Headers],[8월]]),1),INDEX(마케팅계획[],,1),0),MATCH(MarketingVariances[[#Headers],[8월]],마케팅계획[#Headers],0))-INDEX(마케팅_실비[],MATCH(INDEX(MarketingVariances[],ROW()-ROW(MarketingVariances[[#Headers],[8월]]),1),INDEX(마케팅계획[],,1),0),MATCH(MarketingVariances[[#Headers],[8월]],마케팅_실비[#Headers],0))</f>
        <v>0</v>
      </c>
      <c r="K24" s="42">
        <f>INDEX(마케팅계획[],MATCH(INDEX(MarketingVariances[],ROW()-ROW(MarketingVariances[[#Headers],[9월]]),1),INDEX(마케팅계획[],,1),0),MATCH(MarketingVariances[[#Headers],[9월]],마케팅계획[#Headers],0))-INDEX(마케팅_실비[],MATCH(INDEX(MarketingVariances[],ROW()-ROW(MarketingVariances[[#Headers],[9월]]),1),INDEX(마케팅계획[],,1),0),MATCH(MarketingVariances[[#Headers],[9월]],마케팅_실비[#Headers],0))</f>
        <v>0</v>
      </c>
      <c r="L24" s="42">
        <f>INDEX(마케팅계획[],MATCH(INDEX(MarketingVariances[],ROW()-ROW(MarketingVariances[[#Headers],[10월]]),1),INDEX(마케팅계획[],,1),0),MATCH(MarketingVariances[[#Headers],[10월]],마케팅계획[#Headers],0))-INDEX(마케팅_실비[],MATCH(INDEX(MarketingVariances[],ROW()-ROW(MarketingVariances[[#Headers],[10월]]),1),INDEX(마케팅계획[],,1),0),MATCH(MarketingVariances[[#Headers],[10월]],마케팅_실비[#Headers],0))</f>
        <v>5000</v>
      </c>
      <c r="M24" s="42">
        <f>INDEX(마케팅계획[],MATCH(INDEX(MarketingVariances[],ROW()-ROW(MarketingVariances[[#Headers],[11월]]),1),INDEX(마케팅계획[],,1),0),MATCH(MarketingVariances[[#Headers],[11월]],마케팅계획[#Headers],0))-INDEX(마케팅_실비[],MATCH(INDEX(MarketingVariances[],ROW()-ROW(MarketingVariances[[#Headers],[11월]]),1),INDEX(마케팅계획[],,1),0),MATCH(MarketingVariances[[#Headers],[11월]],마케팅_실비[#Headers],0))</f>
        <v>0</v>
      </c>
      <c r="N24" s="42">
        <f>INDEX(마케팅계획[],MATCH(INDEX(MarketingVariances[],ROW()-ROW(MarketingVariances[[#Headers],[12월]]),1),INDEX(마케팅계획[],,1),0),MATCH(MarketingVariances[[#Headers],[12월]],마케팅계획[#Headers],0))-INDEX(마케팅_실비[],MATCH(INDEX(MarketingVariances[],ROW()-ROW(MarketingVariances[[#Headers],[12월]]),1),INDEX(마케팅계획[],,1),0),MATCH(MarketingVariances[[#Headers],[12월]],마케팅_실비[#Headers],0))</f>
        <v>0</v>
      </c>
      <c r="O24" s="43">
        <f>SUM(MarketingVariances[[#This Row],[1월]:[12월]])</f>
        <v>9700</v>
      </c>
    </row>
    <row r="25" spans="1:15" ht="24.9" customHeight="1" thickBot="1">
      <c r="A25" s="13"/>
      <c r="B25" s="32" t="s">
        <v>18</v>
      </c>
      <c r="C25" s="42">
        <f>INDEX(마케팅계획[],MATCH(INDEX(MarketingVariances[],ROW()-ROW(MarketingVariances[[#Headers],[1월]]),1),INDEX(마케팅계획[],,1),0),MATCH(MarketingVariances[[#Headers],[1월]],마케팅계획[#Headers],0))-INDEX(마케팅_실비[],MATCH(INDEX(MarketingVariances[],ROW()-ROW(MarketingVariances[[#Headers],[1월]]),1),INDEX(마케팅계획[],,1),0),MATCH(MarketingVariances[[#Headers],[1월]],마케팅_실비[#Headers],0))</f>
        <v>100</v>
      </c>
      <c r="D25" s="42">
        <f>INDEX(마케팅계획[],MATCH(INDEX(MarketingVariances[],ROW()-ROW(MarketingVariances[[#Headers],[2월]]),1),INDEX(마케팅계획[],,1),0),MATCH(MarketingVariances[[#Headers],[2월]],마케팅계획[#Headers],0))-INDEX(마케팅_실비[],MATCH(INDEX(MarketingVariances[],ROW()-ROW(MarketingVariances[[#Headers],[2월]]),1),INDEX(마케팅계획[],,1),0),MATCH(MarketingVariances[[#Headers],[2월]],마케팅_실비[#Headers],0))</f>
        <v>-300</v>
      </c>
      <c r="E25" s="42">
        <f>INDEX(마케팅계획[],MATCH(INDEX(MarketingVariances[],ROW()-ROW(MarketingVariances[[#Headers],[3월]]),1),INDEX(마케팅계획[],,1),0),MATCH(MarketingVariances[[#Headers],[3월]],마케팅계획[#Headers],0))-INDEX(마케팅_실비[],MATCH(INDEX(MarketingVariances[],ROW()-ROW(MarketingVariances[[#Headers],[3월]]),1),INDEX(마케팅계획[],,1),0),MATCH(MarketingVariances[[#Headers],[3월]],마케팅_실비[#Headers],0))</f>
        <v>100</v>
      </c>
      <c r="F25" s="42">
        <f>INDEX(마케팅계획[],MATCH(INDEX(MarketingVariances[],ROW()-ROW(MarketingVariances[[#Headers],[4월]]),1),INDEX(마케팅계획[],,1),0),MATCH(MarketingVariances[[#Headers],[4월]],마케팅계획[#Headers],0))-INDEX(마케팅_실비[],MATCH(INDEX(MarketingVariances[],ROW()-ROW(MarketingVariances[[#Headers],[4월]]),1),INDEX(마케팅계획[],,1),0),MATCH(MarketingVariances[[#Headers],[4월]],마케팅_실비[#Headers],0))</f>
        <v>100</v>
      </c>
      <c r="G25" s="42">
        <f>INDEX(마케팅계획[],MATCH(INDEX(MarketingVariances[],ROW()-ROW(MarketingVariances[[#Headers],[5월]]),1),INDEX(마케팅계획[],,1),0),MATCH(MarketingVariances[[#Headers],[5월]],마케팅계획[#Headers],0))-INDEX(마케팅_실비[],MATCH(INDEX(MarketingVariances[],ROW()-ROW(MarketingVariances[[#Headers],[5월]]),1),INDEX(마케팅계획[],,1),0),MATCH(MarketingVariances[[#Headers],[5월]],마케팅_실비[#Headers],0))</f>
        <v>-400</v>
      </c>
      <c r="H25" s="42">
        <f>INDEX(마케팅계획[],MATCH(INDEX(MarketingVariances[],ROW()-ROW(MarketingVariances[[#Headers],[6월]]),1),INDEX(마케팅계획[],,1),0),MATCH(MarketingVariances[[#Headers],[6월]],마케팅계획[#Headers],0))-INDEX(마케팅_실비[],MATCH(INDEX(MarketingVariances[],ROW()-ROW(MarketingVariances[[#Headers],[6월]]),1),INDEX(마케팅계획[],,1),0),MATCH(MarketingVariances[[#Headers],[6월]],마케팅_실비[#Headers],0))</f>
        <v>20</v>
      </c>
      <c r="I25" s="42">
        <f>INDEX(마케팅계획[],MATCH(INDEX(MarketingVariances[],ROW()-ROW(MarketingVariances[[#Headers],[7월]]),1),INDEX(마케팅계획[],,1),0),MATCH(MarketingVariances[[#Headers],[7월]],마케팅계획[#Headers],0))-INDEX(마케팅_실비[],MATCH(INDEX(MarketingVariances[],ROW()-ROW(MarketingVariances[[#Headers],[7월]]),1),INDEX(마케팅계획[],,1),0),MATCH(MarketingVariances[[#Headers],[7월]],마케팅_실비[#Headers],0))</f>
        <v>200</v>
      </c>
      <c r="J25" s="42">
        <f>INDEX(마케팅계획[],MATCH(INDEX(MarketingVariances[],ROW()-ROW(MarketingVariances[[#Headers],[8월]]),1),INDEX(마케팅계획[],,1),0),MATCH(MarketingVariances[[#Headers],[8월]],마케팅계획[#Headers],0))-INDEX(마케팅_실비[],MATCH(INDEX(MarketingVariances[],ROW()-ROW(MarketingVariances[[#Headers],[8월]]),1),INDEX(마케팅계획[],,1),0),MATCH(MarketingVariances[[#Headers],[8월]],마케팅_실비[#Headers],0))</f>
        <v>200</v>
      </c>
      <c r="K25" s="42">
        <f>INDEX(마케팅계획[],MATCH(INDEX(MarketingVariances[],ROW()-ROW(MarketingVariances[[#Headers],[9월]]),1),INDEX(마케팅계획[],,1),0),MATCH(MarketingVariances[[#Headers],[9월]],마케팅계획[#Headers],0))-INDEX(마케팅_실비[],MATCH(INDEX(MarketingVariances[],ROW()-ROW(MarketingVariances[[#Headers],[9월]]),1),INDEX(마케팅계획[],,1),0),MATCH(MarketingVariances[[#Headers],[9월]],마케팅_실비[#Headers],0))</f>
        <v>200</v>
      </c>
      <c r="L25" s="42">
        <f>INDEX(마케팅계획[],MATCH(INDEX(MarketingVariances[],ROW()-ROW(MarketingVariances[[#Headers],[10월]]),1),INDEX(마케팅계획[],,1),0),MATCH(MarketingVariances[[#Headers],[10월]],마케팅계획[#Headers],0))-INDEX(마케팅_실비[],MATCH(INDEX(MarketingVariances[],ROW()-ROW(MarketingVariances[[#Headers],[10월]]),1),INDEX(마케팅계획[],,1),0),MATCH(MarketingVariances[[#Headers],[10월]],마케팅_실비[#Headers],0))</f>
        <v>200</v>
      </c>
      <c r="M25" s="42">
        <f>INDEX(마케팅계획[],MATCH(INDEX(MarketingVariances[],ROW()-ROW(MarketingVariances[[#Headers],[11월]]),1),INDEX(마케팅계획[],,1),0),MATCH(MarketingVariances[[#Headers],[11월]],마케팅계획[#Headers],0))-INDEX(마케팅_실비[],MATCH(INDEX(MarketingVariances[],ROW()-ROW(MarketingVariances[[#Headers],[11월]]),1),INDEX(마케팅계획[],,1),0),MATCH(MarketingVariances[[#Headers],[11월]],마케팅_실비[#Headers],0))</f>
        <v>200</v>
      </c>
      <c r="N25" s="42">
        <f>INDEX(마케팅계획[],MATCH(INDEX(MarketingVariances[],ROW()-ROW(MarketingVariances[[#Headers],[12월]]),1),INDEX(마케팅계획[],,1),0),MATCH(MarketingVariances[[#Headers],[12월]],마케팅계획[#Headers],0))-INDEX(마케팅_실비[],MATCH(INDEX(MarketingVariances[],ROW()-ROW(MarketingVariances[[#Headers],[12월]]),1),INDEX(마케팅계획[],,1),0),MATCH(MarketingVariances[[#Headers],[12월]],마케팅_실비[#Headers],0))</f>
        <v>200</v>
      </c>
      <c r="O25" s="43">
        <f>SUM(MarketingVariances[[#This Row],[1월]:[12월]])</f>
        <v>820</v>
      </c>
    </row>
    <row r="26" spans="1:15" ht="24.9" customHeight="1" thickBot="1">
      <c r="A26" s="13"/>
      <c r="B26" s="32" t="s">
        <v>19</v>
      </c>
      <c r="C26" s="42">
        <f>INDEX(마케팅계획[],MATCH(INDEX(MarketingVariances[],ROW()-ROW(MarketingVariances[[#Headers],[1월]]),1),INDEX(마케팅계획[],,1),0),MATCH(MarketingVariances[[#Headers],[1월]],마케팅계획[#Headers],0))-INDEX(마케팅_실비[],MATCH(INDEX(MarketingVariances[],ROW()-ROW(MarketingVariances[[#Headers],[1월]]),1),INDEX(마케팅계획[],,1),0),MATCH(MarketingVariances[[#Headers],[1월]],마케팅_실비[#Headers],0))</f>
        <v>200</v>
      </c>
      <c r="D26" s="42">
        <f>INDEX(마케팅계획[],MATCH(INDEX(MarketingVariances[],ROW()-ROW(MarketingVariances[[#Headers],[2월]]),1),INDEX(마케팅계획[],,1),0),MATCH(MarketingVariances[[#Headers],[2월]],마케팅계획[#Headers],0))-INDEX(마케팅_실비[],MATCH(INDEX(MarketingVariances[],ROW()-ROW(MarketingVariances[[#Headers],[2월]]),1),INDEX(마케팅계획[],,1),0),MATCH(MarketingVariances[[#Headers],[2월]],마케팅_실비[#Headers],0))</f>
        <v>-200</v>
      </c>
      <c r="E26" s="42">
        <f>INDEX(마케팅계획[],MATCH(INDEX(MarketingVariances[],ROW()-ROW(MarketingVariances[[#Headers],[3월]]),1),INDEX(마케팅계획[],,1),0),MATCH(MarketingVariances[[#Headers],[3월]],마케팅계획[#Headers],0))-INDEX(마케팅_실비[],MATCH(INDEX(MarketingVariances[],ROW()-ROW(MarketingVariances[[#Headers],[3월]]),1),INDEX(마케팅계획[],,1),0),MATCH(MarketingVariances[[#Headers],[3월]],마케팅_실비[#Headers],0))</f>
        <v>-200</v>
      </c>
      <c r="F26" s="42">
        <f>INDEX(마케팅계획[],MATCH(INDEX(MarketingVariances[],ROW()-ROW(MarketingVariances[[#Headers],[4월]]),1),INDEX(마케팅계획[],,1),0),MATCH(MarketingVariances[[#Headers],[4월]],마케팅계획[#Headers],0))-INDEX(마케팅_실비[],MATCH(INDEX(MarketingVariances[],ROW()-ROW(MarketingVariances[[#Headers],[4월]]),1),INDEX(마케팅계획[],,1),0),MATCH(MarketingVariances[[#Headers],[4월]],마케팅_실비[#Headers],0))</f>
        <v>300</v>
      </c>
      <c r="G26" s="42">
        <f>INDEX(마케팅계획[],MATCH(INDEX(MarketingVariances[],ROW()-ROW(MarketingVariances[[#Headers],[5월]]),1),INDEX(마케팅계획[],,1),0),MATCH(MarketingVariances[[#Headers],[5월]],마케팅계획[#Headers],0))-INDEX(마케팅_실비[],MATCH(INDEX(MarketingVariances[],ROW()-ROW(MarketingVariances[[#Headers],[5월]]),1),INDEX(마케팅계획[],,1),0),MATCH(MarketingVariances[[#Headers],[5월]],마케팅_실비[#Headers],0))</f>
        <v>500</v>
      </c>
      <c r="H26" s="42">
        <f>INDEX(마케팅계획[],MATCH(INDEX(MarketingVariances[],ROW()-ROW(MarketingVariances[[#Headers],[6월]]),1),INDEX(마케팅계획[],,1),0),MATCH(MarketingVariances[[#Headers],[6월]],마케팅계획[#Headers],0))-INDEX(마케팅_실비[],MATCH(INDEX(MarketingVariances[],ROW()-ROW(MarketingVariances[[#Headers],[6월]]),1),INDEX(마케팅계획[],,1),0),MATCH(MarketingVariances[[#Headers],[6월]],마케팅_실비[#Headers],0))</f>
        <v>-300</v>
      </c>
      <c r="I26" s="42">
        <f>INDEX(마케팅계획[],MATCH(INDEX(MarketingVariances[],ROW()-ROW(MarketingVariances[[#Headers],[7월]]),1),INDEX(마케팅계획[],,1),0),MATCH(MarketingVariances[[#Headers],[7월]],마케팅계획[#Headers],0))-INDEX(마케팅_실비[],MATCH(INDEX(MarketingVariances[],ROW()-ROW(MarketingVariances[[#Headers],[7월]]),1),INDEX(마케팅계획[],,1),0),MATCH(MarketingVariances[[#Headers],[7월]],마케팅_실비[#Headers],0))</f>
        <v>2000</v>
      </c>
      <c r="J26" s="42">
        <f>INDEX(마케팅계획[],MATCH(INDEX(MarketingVariances[],ROW()-ROW(MarketingVariances[[#Headers],[8월]]),1),INDEX(마케팅계획[],,1),0),MATCH(MarketingVariances[[#Headers],[8월]],마케팅계획[#Headers],0))-INDEX(마케팅_실비[],MATCH(INDEX(MarketingVariances[],ROW()-ROW(MarketingVariances[[#Headers],[8월]]),1),INDEX(마케팅계획[],,1),0),MATCH(MarketingVariances[[#Headers],[8월]],마케팅_실비[#Headers],0))</f>
        <v>5000</v>
      </c>
      <c r="K26" s="42">
        <f>INDEX(마케팅계획[],MATCH(INDEX(MarketingVariances[],ROW()-ROW(MarketingVariances[[#Headers],[9월]]),1),INDEX(마케팅계획[],,1),0),MATCH(MarketingVariances[[#Headers],[9월]],마케팅계획[#Headers],0))-INDEX(마케팅_실비[],MATCH(INDEX(MarketingVariances[],ROW()-ROW(MarketingVariances[[#Headers],[9월]]),1),INDEX(마케팅계획[],,1),0),MATCH(MarketingVariances[[#Headers],[9월]],마케팅_실비[#Headers],0))</f>
        <v>2000</v>
      </c>
      <c r="L26" s="42">
        <f>INDEX(마케팅계획[],MATCH(INDEX(MarketingVariances[],ROW()-ROW(MarketingVariances[[#Headers],[10월]]),1),INDEX(마케팅계획[],,1),0),MATCH(MarketingVariances[[#Headers],[10월]],마케팅계획[#Headers],0))-INDEX(마케팅_실비[],MATCH(INDEX(MarketingVariances[],ROW()-ROW(MarketingVariances[[#Headers],[10월]]),1),INDEX(마케팅계획[],,1),0),MATCH(MarketingVariances[[#Headers],[10월]],마케팅_실비[#Headers],0))</f>
        <v>2000</v>
      </c>
      <c r="M26" s="42">
        <f>INDEX(마케팅계획[],MATCH(INDEX(MarketingVariances[],ROW()-ROW(MarketingVariances[[#Headers],[11월]]),1),INDEX(마케팅계획[],,1),0),MATCH(MarketingVariances[[#Headers],[11월]],마케팅계획[#Headers],0))-INDEX(마케팅_실비[],MATCH(INDEX(MarketingVariances[],ROW()-ROW(MarketingVariances[[#Headers],[11월]]),1),INDEX(마케팅계획[],,1),0),MATCH(MarketingVariances[[#Headers],[11월]],마케팅_실비[#Headers],0))</f>
        <v>2000</v>
      </c>
      <c r="N26" s="42">
        <f>INDEX(마케팅계획[],MATCH(INDEX(MarketingVariances[],ROW()-ROW(MarketingVariances[[#Headers],[12월]]),1),INDEX(마케팅계획[],,1),0),MATCH(MarketingVariances[[#Headers],[12월]],마케팅계획[#Headers],0))-INDEX(마케팅_실비[],MATCH(INDEX(MarketingVariances[],ROW()-ROW(MarketingVariances[[#Headers],[12월]]),1),INDEX(마케팅계획[],,1),0),MATCH(MarketingVariances[[#Headers],[12월]],마케팅_실비[#Headers],0))</f>
        <v>5000</v>
      </c>
      <c r="O26" s="43">
        <f>SUM(MarketingVariances[[#This Row],[1월]:[12월]])</f>
        <v>18300</v>
      </c>
    </row>
    <row r="27" spans="1:15" ht="24.9" customHeight="1" thickBot="1">
      <c r="A27" s="13"/>
      <c r="B27" s="32" t="s">
        <v>20</v>
      </c>
      <c r="C27" s="42">
        <f>INDEX(마케팅계획[],MATCH(INDEX(MarketingVariances[],ROW()-ROW(MarketingVariances[[#Headers],[1월]]),1),INDEX(마케팅계획[],,1),0),MATCH(MarketingVariances[[#Headers],[1월]],마케팅계획[#Headers],0))-INDEX(마케팅_실비[],MATCH(INDEX(MarketingVariances[],ROW()-ROW(MarketingVariances[[#Headers],[1월]]),1),INDEX(마케팅계획[],,1),0),MATCH(MarketingVariances[[#Headers],[1월]],마케팅_실비[#Headers],0))</f>
        <v>55</v>
      </c>
      <c r="D27" s="42">
        <f>INDEX(마케팅계획[],MATCH(INDEX(MarketingVariances[],ROW()-ROW(MarketingVariances[[#Headers],[2월]]),1),INDEX(마케팅계획[],,1),0),MATCH(MarketingVariances[[#Headers],[2월]],마케팅계획[#Headers],0))-INDEX(마케팅_실비[],MATCH(INDEX(MarketingVariances[],ROW()-ROW(MarketingVariances[[#Headers],[2월]]),1),INDEX(마케팅계획[],,1),0),MATCH(MarketingVariances[[#Headers],[2월]],마케팅_실비[#Headers],0))</f>
        <v>44</v>
      </c>
      <c r="E27" s="42">
        <f>INDEX(마케팅계획[],MATCH(INDEX(MarketingVariances[],ROW()-ROW(MarketingVariances[[#Headers],[3월]]),1),INDEX(마케팅계획[],,1),0),MATCH(MarketingVariances[[#Headers],[3월]],마케팅계획[#Headers],0))-INDEX(마케팅_실비[],MATCH(INDEX(MarketingVariances[],ROW()-ROW(MarketingVariances[[#Headers],[3월]]),1),INDEX(마케팅계획[],,1),0),MATCH(MarketingVariances[[#Headers],[3월]],마케팅_실비[#Headers],0))</f>
        <v>77</v>
      </c>
      <c r="F27" s="42">
        <f>INDEX(마케팅계획[],MATCH(INDEX(MarketingVariances[],ROW()-ROW(MarketingVariances[[#Headers],[4월]]),1),INDEX(마케팅계획[],,1),0),MATCH(MarketingVariances[[#Headers],[4월]],마케팅계획[#Headers],0))-INDEX(마케팅_실비[],MATCH(INDEX(MarketingVariances[],ROW()-ROW(MarketingVariances[[#Headers],[4월]]),1),INDEX(마케팅계획[],,1),0),MATCH(MarketingVariances[[#Headers],[4월]],마케팅_실비[#Headers],0))</f>
        <v>-23</v>
      </c>
      <c r="G27" s="42">
        <f>INDEX(마케팅계획[],MATCH(INDEX(MarketingVariances[],ROW()-ROW(MarketingVariances[[#Headers],[5월]]),1),INDEX(마케팅계획[],,1),0),MATCH(MarketingVariances[[#Headers],[5월]],마케팅계획[#Headers],0))-INDEX(마케팅_실비[],MATCH(INDEX(MarketingVariances[],ROW()-ROW(MarketingVariances[[#Headers],[5월]]),1),INDEX(마케팅계획[],,1),0),MATCH(MarketingVariances[[#Headers],[5월]],마케팅_실비[#Headers],0))</f>
        <v>13</v>
      </c>
      <c r="H27" s="42">
        <f>INDEX(마케팅계획[],MATCH(INDEX(MarketingVariances[],ROW()-ROW(MarketingVariances[[#Headers],[6월]]),1),INDEX(마케팅계획[],,1),0),MATCH(MarketingVariances[[#Headers],[6월]],마케팅계획[#Headers],0))-INDEX(마케팅_실비[],MATCH(INDEX(MarketingVariances[],ROW()-ROW(MarketingVariances[[#Headers],[6월]]),1),INDEX(마케팅계획[],,1),0),MATCH(MarketingVariances[[#Headers],[6월]],마케팅_실비[#Headers],0))</f>
        <v>-45</v>
      </c>
      <c r="I27" s="42">
        <f>INDEX(마케팅계획[],MATCH(INDEX(MarketingVariances[],ROW()-ROW(MarketingVariances[[#Headers],[7월]]),1),INDEX(마케팅계획[],,1),0),MATCH(MarketingVariances[[#Headers],[7월]],마케팅계획[#Headers],0))-INDEX(마케팅_실비[],MATCH(INDEX(MarketingVariances[],ROW()-ROW(MarketingVariances[[#Headers],[7월]]),1),INDEX(마케팅계획[],,1),0),MATCH(MarketingVariances[[#Headers],[7월]],마케팅_실비[#Headers],0))</f>
        <v>200</v>
      </c>
      <c r="J27" s="42">
        <f>INDEX(마케팅계획[],MATCH(INDEX(MarketingVariances[],ROW()-ROW(MarketingVariances[[#Headers],[8월]]),1),INDEX(마케팅계획[],,1),0),MATCH(MarketingVariances[[#Headers],[8월]],마케팅계획[#Headers],0))-INDEX(마케팅_실비[],MATCH(INDEX(MarketingVariances[],ROW()-ROW(MarketingVariances[[#Headers],[8월]]),1),INDEX(마케팅계획[],,1),0),MATCH(MarketingVariances[[#Headers],[8월]],마케팅_실비[#Headers],0))</f>
        <v>200</v>
      </c>
      <c r="K27" s="42">
        <f>INDEX(마케팅계획[],MATCH(INDEX(MarketingVariances[],ROW()-ROW(MarketingVariances[[#Headers],[9월]]),1),INDEX(마케팅계획[],,1),0),MATCH(MarketingVariances[[#Headers],[9월]],마케팅계획[#Headers],0))-INDEX(마케팅_실비[],MATCH(INDEX(MarketingVariances[],ROW()-ROW(MarketingVariances[[#Headers],[9월]]),1),INDEX(마케팅계획[],,1),0),MATCH(MarketingVariances[[#Headers],[9월]],마케팅_실비[#Headers],0))</f>
        <v>200</v>
      </c>
      <c r="L27" s="42">
        <f>INDEX(마케팅계획[],MATCH(INDEX(MarketingVariances[],ROW()-ROW(MarketingVariances[[#Headers],[10월]]),1),INDEX(마케팅계획[],,1),0),MATCH(MarketingVariances[[#Headers],[10월]],마케팅계획[#Headers],0))-INDEX(마케팅_실비[],MATCH(INDEX(MarketingVariances[],ROW()-ROW(MarketingVariances[[#Headers],[10월]]),1),INDEX(마케팅계획[],,1),0),MATCH(MarketingVariances[[#Headers],[10월]],마케팅_실비[#Headers],0))</f>
        <v>200</v>
      </c>
      <c r="M27" s="42">
        <f>INDEX(마케팅계획[],MATCH(INDEX(MarketingVariances[],ROW()-ROW(MarketingVariances[[#Headers],[11월]]),1),INDEX(마케팅계획[],,1),0),MATCH(MarketingVariances[[#Headers],[11월]],마케팅계획[#Headers],0))-INDEX(마케팅_실비[],MATCH(INDEX(MarketingVariances[],ROW()-ROW(MarketingVariances[[#Headers],[11월]]),1),INDEX(마케팅계획[],,1),0),MATCH(MarketingVariances[[#Headers],[11월]],마케팅_실비[#Headers],0))</f>
        <v>200</v>
      </c>
      <c r="N27" s="42">
        <f>INDEX(마케팅계획[],MATCH(INDEX(MarketingVariances[],ROW()-ROW(MarketingVariances[[#Headers],[12월]]),1),INDEX(마케팅계획[],,1),0),MATCH(MarketingVariances[[#Headers],[12월]],마케팅계획[#Headers],0))-INDEX(마케팅_실비[],MATCH(INDEX(MarketingVariances[],ROW()-ROW(MarketingVariances[[#Headers],[12월]]),1),INDEX(마케팅계획[],,1),0),MATCH(MarketingVariances[[#Headers],[12월]],마케팅_실비[#Headers],0))</f>
        <v>200</v>
      </c>
      <c r="O27" s="43">
        <f>SUM(MarketingVariances[[#This Row],[1월]:[12월]])</f>
        <v>1321</v>
      </c>
    </row>
    <row r="28" spans="1:15" ht="24.9" customHeight="1">
      <c r="A28" s="13"/>
      <c r="B28" s="34" t="s">
        <v>4</v>
      </c>
      <c r="C28" s="47">
        <f>SUBTOTAL(109,MarketingVariances[1월])</f>
        <v>555</v>
      </c>
      <c r="D28" s="47">
        <f>SUBTOTAL(109,MarketingVariances[2월])</f>
        <v>-456</v>
      </c>
      <c r="E28" s="47">
        <f>SUBTOTAL(109,MarketingVariances[3월])</f>
        <v>-23</v>
      </c>
      <c r="F28" s="47">
        <f>SUBTOTAL(109,MarketingVariances[4월])</f>
        <v>-123</v>
      </c>
      <c r="G28" s="47">
        <f>SUBTOTAL(109,MarketingVariances[5월])</f>
        <v>113</v>
      </c>
      <c r="H28" s="47">
        <f>SUBTOTAL(109,MarketingVariances[6월])</f>
        <v>-825</v>
      </c>
      <c r="I28" s="47">
        <f>SUBTOTAL(109,MarketingVariances[7월])</f>
        <v>8100</v>
      </c>
      <c r="J28" s="47">
        <f>SUBTOTAL(109,MarketingVariances[8월])</f>
        <v>6100</v>
      </c>
      <c r="K28" s="47">
        <f>SUBTOTAL(109,MarketingVariances[9월])</f>
        <v>3100</v>
      </c>
      <c r="L28" s="47">
        <f>SUBTOTAL(109,MarketingVariances[10월])</f>
        <v>8100</v>
      </c>
      <c r="M28" s="47">
        <f>SUBTOTAL(109,MarketingVariances[11월])</f>
        <v>3100</v>
      </c>
      <c r="N28" s="47">
        <f>SUBTOTAL(109,MarketingVariances[12월])</f>
        <v>6900</v>
      </c>
      <c r="O28" s="48">
        <f>SUBTOTAL(109,MarketingVariances[연도])</f>
        <v>34641</v>
      </c>
    </row>
    <row r="29" spans="1:15" ht="21" customHeight="1">
      <c r="A29" s="13"/>
      <c r="B29" s="19"/>
      <c r="C29" s="19"/>
      <c r="D29" s="46"/>
      <c r="E29" s="46"/>
      <c r="F29" s="46"/>
      <c r="G29" s="46"/>
      <c r="H29" s="46"/>
      <c r="I29" s="46"/>
      <c r="J29" s="46"/>
      <c r="K29" s="46"/>
      <c r="L29" s="46"/>
      <c r="M29" s="46"/>
      <c r="N29" s="46"/>
      <c r="O29" s="45"/>
    </row>
    <row r="30" spans="1:15" ht="24.9" customHeight="1" thickBot="1">
      <c r="A30" s="13"/>
      <c r="B30" s="25" t="s">
        <v>21</v>
      </c>
      <c r="C30" s="22" t="s">
        <v>27</v>
      </c>
      <c r="D30" s="22" t="s">
        <v>28</v>
      </c>
      <c r="E30" s="23" t="s">
        <v>29</v>
      </c>
      <c r="F30" s="22" t="s">
        <v>30</v>
      </c>
      <c r="G30" s="22" t="s">
        <v>31</v>
      </c>
      <c r="H30" s="22" t="s">
        <v>32</v>
      </c>
      <c r="I30" s="22" t="s">
        <v>33</v>
      </c>
      <c r="J30" s="22" t="s">
        <v>34</v>
      </c>
      <c r="K30" s="22" t="s">
        <v>37</v>
      </c>
      <c r="L30" s="22" t="s">
        <v>38</v>
      </c>
      <c r="M30" s="22" t="s">
        <v>39</v>
      </c>
      <c r="N30" s="22" t="s">
        <v>40</v>
      </c>
      <c r="O30" s="24" t="s">
        <v>41</v>
      </c>
    </row>
    <row r="31" spans="1:15" ht="24.9" customHeight="1" thickBot="1">
      <c r="A31" s="13"/>
      <c r="B31" s="32" t="s">
        <v>22</v>
      </c>
      <c r="C31" s="42">
        <f>INDEX(교육_및_여행계획[],MATCH(INDEX(TrainingAndTravelVariances[],ROW()-ROW(TrainingAndTravelVariances[[#Headers],[1월]]),1),INDEX(교육_및_여행계획[],,1),0),MATCH(TrainingAndTravelVariances[[#Headers],[1월]],교육_및_여행계획[#Headers],0))-INDEX(교육_및_여행실비[],MATCH(INDEX(TrainingAndTravelVariances[],ROW()-ROW(TrainingAndTravelVariances[[#Headers],[1월]]),1),INDEX(교육_및_여행계획[],,1),0),MATCH(TrainingAndTravelVariances[[#Headers],[1월]],교육_및_여행실비[#Headers],0))</f>
        <v>400</v>
      </c>
      <c r="D31" s="42">
        <f>INDEX(교육_및_여행계획[],MATCH(INDEX(TrainingAndTravelVariances[],ROW()-ROW(TrainingAndTravelVariances[[#Headers],[2월]]),1),INDEX(교육_및_여행계획[],,1),0),MATCH(TrainingAndTravelVariances[[#Headers],[2월]],교육_및_여행계획[#Headers],0))-INDEX(교육_및_여행실비[],MATCH(INDEX(TrainingAndTravelVariances[],ROW()-ROW(TrainingAndTravelVariances[[#Headers],[2월]]),1),INDEX(교육_및_여행계획[],,1),0),MATCH(TrainingAndTravelVariances[[#Headers],[2월]],교육_및_여행실비[#Headers],0))</f>
        <v>-400</v>
      </c>
      <c r="E31" s="42">
        <f>INDEX(교육_및_여행계획[],MATCH(INDEX(TrainingAndTravelVariances[],ROW()-ROW(TrainingAndTravelVariances[[#Headers],[3월]]),1),INDEX(교육_및_여행계획[],,1),0),MATCH(TrainingAndTravelVariances[[#Headers],[3월]],교육_및_여행계획[#Headers],0))-INDEX(교육_및_여행실비[],MATCH(INDEX(TrainingAndTravelVariances[],ROW()-ROW(TrainingAndTravelVariances[[#Headers],[3월]]),1),INDEX(교육_및_여행계획[],,1),0),MATCH(TrainingAndTravelVariances[[#Headers],[3월]],교육_및_여행실비[#Headers],0))</f>
        <v>600</v>
      </c>
      <c r="F31" s="42">
        <f>INDEX(교육_및_여행계획[],MATCH(INDEX(TrainingAndTravelVariances[],ROW()-ROW(TrainingAndTravelVariances[[#Headers],[4월]]),1),INDEX(교육_및_여행계획[],,1),0),MATCH(TrainingAndTravelVariances[[#Headers],[4월]],교육_및_여행계획[#Headers],0))-INDEX(교육_및_여행실비[],MATCH(INDEX(TrainingAndTravelVariances[],ROW()-ROW(TrainingAndTravelVariances[[#Headers],[4월]]),1),INDEX(교육_및_여행계획[],,1),0),MATCH(TrainingAndTravelVariances[[#Headers],[4월]],교육_및_여행실비[#Headers],0))</f>
        <v>400</v>
      </c>
      <c r="G31" s="42">
        <f>INDEX(교육_및_여행계획[],MATCH(INDEX(TrainingAndTravelVariances[],ROW()-ROW(TrainingAndTravelVariances[[#Headers],[5월]]),1),INDEX(교육_및_여행계획[],,1),0),MATCH(TrainingAndTravelVariances[[#Headers],[5월]],교육_및_여행계획[#Headers],0))-INDEX(교육_및_여행실비[],MATCH(INDEX(TrainingAndTravelVariances[],ROW()-ROW(TrainingAndTravelVariances[[#Headers],[5월]]),1),INDEX(교육_및_여행계획[],,1),0),MATCH(TrainingAndTravelVariances[[#Headers],[5월]],교육_및_여행실비[#Headers],0))</f>
        <v>800</v>
      </c>
      <c r="H31" s="42">
        <f>INDEX(교육_및_여행계획[],MATCH(INDEX(TrainingAndTravelVariances[],ROW()-ROW(TrainingAndTravelVariances[[#Headers],[6월]]),1),INDEX(교육_및_여행계획[],,1),0),MATCH(TrainingAndTravelVariances[[#Headers],[6월]],교육_및_여행계획[#Headers],0))-INDEX(교육_및_여행실비[],MATCH(INDEX(TrainingAndTravelVariances[],ROW()-ROW(TrainingAndTravelVariances[[#Headers],[6월]]),1),INDEX(교육_및_여행계획[],,1),0),MATCH(TrainingAndTravelVariances[[#Headers],[6월]],교육_및_여행실비[#Headers],0))</f>
        <v>-800</v>
      </c>
      <c r="I31" s="42">
        <f>INDEX(교육_및_여행계획[],MATCH(INDEX(TrainingAndTravelVariances[],ROW()-ROW(TrainingAndTravelVariances[[#Headers],[7월]]),1),INDEX(교육_및_여행계획[],,1),0),MATCH(TrainingAndTravelVariances[[#Headers],[7월]],교육_및_여행계획[#Headers],0))-INDEX(교육_및_여행실비[],MATCH(INDEX(TrainingAndTravelVariances[],ROW()-ROW(TrainingAndTravelVariances[[#Headers],[7월]]),1),INDEX(교육_및_여행계획[],,1),0),MATCH(TrainingAndTravelVariances[[#Headers],[7월]],교육_및_여행실비[#Headers],0))</f>
        <v>2000</v>
      </c>
      <c r="J31" s="42">
        <f>INDEX(교육_및_여행계획[],MATCH(INDEX(TrainingAndTravelVariances[],ROW()-ROW(TrainingAndTravelVariances[[#Headers],[8월]]),1),INDEX(교육_및_여행계획[],,1),0),MATCH(TrainingAndTravelVariances[[#Headers],[8월]],교육_및_여행계획[#Headers],0))-INDEX(교육_및_여행실비[],MATCH(INDEX(TrainingAndTravelVariances[],ROW()-ROW(TrainingAndTravelVariances[[#Headers],[8월]]),1),INDEX(교육_및_여행계획[],,1),0),MATCH(TrainingAndTravelVariances[[#Headers],[8월]],교육_및_여행실비[#Headers],0))</f>
        <v>2000</v>
      </c>
      <c r="K31" s="42">
        <f>INDEX(교육_및_여행계획[],MATCH(INDEX(TrainingAndTravelVariances[],ROW()-ROW(TrainingAndTravelVariances[[#Headers],[9월]]),1),INDEX(교육_및_여행계획[],,1),0),MATCH(TrainingAndTravelVariances[[#Headers],[9월]],교육_및_여행계획[#Headers],0))-INDEX(교육_및_여행실비[],MATCH(INDEX(TrainingAndTravelVariances[],ROW()-ROW(TrainingAndTravelVariances[[#Headers],[9월]]),1),INDEX(교육_및_여행계획[],,1),0),MATCH(TrainingAndTravelVariances[[#Headers],[9월]],교육_및_여행실비[#Headers],0))</f>
        <v>2000</v>
      </c>
      <c r="L31" s="42">
        <f>INDEX(교육_및_여행계획[],MATCH(INDEX(TrainingAndTravelVariances[],ROW()-ROW(TrainingAndTravelVariances[[#Headers],[10월]]),1),INDEX(교육_및_여행계획[],,1),0),MATCH(TrainingAndTravelVariances[[#Headers],[10월]],교육_및_여행계획[#Headers],0))-INDEX(교육_및_여행실비[],MATCH(INDEX(TrainingAndTravelVariances[],ROW()-ROW(TrainingAndTravelVariances[[#Headers],[10월]]),1),INDEX(교육_및_여행계획[],,1),0),MATCH(TrainingAndTravelVariances[[#Headers],[10월]],교육_및_여행실비[#Headers],0))</f>
        <v>2000</v>
      </c>
      <c r="M31" s="42">
        <f>INDEX(교육_및_여행계획[],MATCH(INDEX(TrainingAndTravelVariances[],ROW()-ROW(TrainingAndTravelVariances[[#Headers],[11월]]),1),INDEX(교육_및_여행계획[],,1),0),MATCH(TrainingAndTravelVariances[[#Headers],[11월]],교육_및_여행계획[#Headers],0))-INDEX(교육_및_여행실비[],MATCH(INDEX(TrainingAndTravelVariances[],ROW()-ROW(TrainingAndTravelVariances[[#Headers],[11월]]),1),INDEX(교육_및_여행계획[],,1),0),MATCH(TrainingAndTravelVariances[[#Headers],[11월]],교육_및_여행실비[#Headers],0))</f>
        <v>2000</v>
      </c>
      <c r="N31" s="42">
        <f>INDEX(교육_및_여행계획[],MATCH(INDEX(TrainingAndTravelVariances[],ROW()-ROW(TrainingAndTravelVariances[[#Headers],[12월]]),1),INDEX(교육_및_여행계획[],,1),0),MATCH(TrainingAndTravelVariances[[#Headers],[12월]],교육_및_여행계획[#Headers],0))-INDEX(교육_및_여행실비[],MATCH(INDEX(TrainingAndTravelVariances[],ROW()-ROW(TrainingAndTravelVariances[[#Headers],[12월]]),1),INDEX(교육_및_여행계획[],,1),0),MATCH(TrainingAndTravelVariances[[#Headers],[12월]],교육_및_여행실비[#Headers],0))</f>
        <v>2000</v>
      </c>
      <c r="O31" s="43">
        <f>SUM(TrainingAndTravelVariances[[#This Row],[1월]:[12월]])</f>
        <v>13000</v>
      </c>
    </row>
    <row r="32" spans="1:15" ht="24.9" customHeight="1" thickBot="1">
      <c r="A32" s="13"/>
      <c r="B32" s="32" t="s">
        <v>23</v>
      </c>
      <c r="C32" s="42">
        <f>INDEX(교육_및_여행계획[],MATCH(INDEX(TrainingAndTravelVariances[],ROW()-ROW(TrainingAndTravelVariances[[#Headers],[1월]]),1),INDEX(교육_및_여행계획[],,1),0),MATCH(TrainingAndTravelVariances[[#Headers],[1월]],교육_및_여행계획[#Headers],0))-INDEX(교육_및_여행실비[],MATCH(INDEX(TrainingAndTravelVariances[],ROW()-ROW(TrainingAndTravelVariances[[#Headers],[1월]]),1),INDEX(교육_및_여행계획[],,1),0),MATCH(TrainingAndTravelVariances[[#Headers],[1월]],교육_및_여행실비[#Headers],0))</f>
        <v>800</v>
      </c>
      <c r="D32" s="42">
        <f>INDEX(교육_및_여행계획[],MATCH(INDEX(TrainingAndTravelVariances[],ROW()-ROW(TrainingAndTravelVariances[[#Headers],[2월]]),1),INDEX(교육_및_여행계획[],,1),0),MATCH(TrainingAndTravelVariances[[#Headers],[2월]],교육_및_여행계획[#Headers],0))-INDEX(교육_및_여행실비[],MATCH(INDEX(TrainingAndTravelVariances[],ROW()-ROW(TrainingAndTravelVariances[[#Headers],[2월]]),1),INDEX(교육_및_여행계획[],,1),0),MATCH(TrainingAndTravelVariances[[#Headers],[2월]],교육_및_여행실비[#Headers],0))</f>
        <v>-200</v>
      </c>
      <c r="E32" s="42">
        <f>INDEX(교육_및_여행계획[],MATCH(INDEX(TrainingAndTravelVariances[],ROW()-ROW(TrainingAndTravelVariances[[#Headers],[3월]]),1),INDEX(교육_및_여행계획[],,1),0),MATCH(TrainingAndTravelVariances[[#Headers],[3월]],교육_및_여행계획[#Headers],0))-INDEX(교육_및_여행실비[],MATCH(INDEX(TrainingAndTravelVariances[],ROW()-ROW(TrainingAndTravelVariances[[#Headers],[3월]]),1),INDEX(교육_및_여행계획[],,1),0),MATCH(TrainingAndTravelVariances[[#Headers],[3월]],교육_및_여행실비[#Headers],0))</f>
        <v>600</v>
      </c>
      <c r="F32" s="42">
        <f>INDEX(교육_및_여행계획[],MATCH(INDEX(TrainingAndTravelVariances[],ROW()-ROW(TrainingAndTravelVariances[[#Headers],[4월]]),1),INDEX(교육_및_여행계획[],,1),0),MATCH(TrainingAndTravelVariances[[#Headers],[4월]],교육_및_여행계획[#Headers],0))-INDEX(교육_및_여행실비[],MATCH(INDEX(TrainingAndTravelVariances[],ROW()-ROW(TrainingAndTravelVariances[[#Headers],[4월]]),1),INDEX(교육_및_여행계획[],,1),0),MATCH(TrainingAndTravelVariances[[#Headers],[4월]],교육_및_여행실비[#Headers],0))</f>
        <v>800</v>
      </c>
      <c r="G32" s="42">
        <f>INDEX(교육_및_여행계획[],MATCH(INDEX(TrainingAndTravelVariances[],ROW()-ROW(TrainingAndTravelVariances[[#Headers],[5월]]),1),INDEX(교육_및_여행계획[],,1),0),MATCH(TrainingAndTravelVariances[[#Headers],[5월]],교육_및_여행계획[#Headers],0))-INDEX(교육_및_여행실비[],MATCH(INDEX(TrainingAndTravelVariances[],ROW()-ROW(TrainingAndTravelVariances[[#Headers],[5월]]),1),INDEX(교육_및_여행계획[],,1),0),MATCH(TrainingAndTravelVariances[[#Headers],[5월]],교육_및_여행실비[#Headers],0))</f>
        <v>1200</v>
      </c>
      <c r="H32" s="42">
        <f>INDEX(교육_및_여행계획[],MATCH(INDEX(TrainingAndTravelVariances[],ROW()-ROW(TrainingAndTravelVariances[[#Headers],[6월]]),1),INDEX(교육_및_여행계획[],,1),0),MATCH(TrainingAndTravelVariances[[#Headers],[6월]],교육_및_여행계획[#Headers],0))-INDEX(교육_및_여행실비[],MATCH(INDEX(TrainingAndTravelVariances[],ROW()-ROW(TrainingAndTravelVariances[[#Headers],[6월]]),1),INDEX(교육_및_여행계획[],,1),0),MATCH(TrainingAndTravelVariances[[#Headers],[6월]],교육_및_여행실비[#Headers],0))</f>
        <v>-1500</v>
      </c>
      <c r="I32" s="42">
        <f>INDEX(교육_및_여행계획[],MATCH(INDEX(TrainingAndTravelVariances[],ROW()-ROW(TrainingAndTravelVariances[[#Headers],[7월]]),1),INDEX(교육_및_여행계획[],,1),0),MATCH(TrainingAndTravelVariances[[#Headers],[7월]],교육_및_여행계획[#Headers],0))-INDEX(교육_및_여행실비[],MATCH(INDEX(TrainingAndTravelVariances[],ROW()-ROW(TrainingAndTravelVariances[[#Headers],[7월]]),1),INDEX(교육_및_여행계획[],,1),0),MATCH(TrainingAndTravelVariances[[#Headers],[7월]],교육_및_여행실비[#Headers],0))</f>
        <v>2000</v>
      </c>
      <c r="J32" s="42">
        <f>INDEX(교육_및_여행계획[],MATCH(INDEX(TrainingAndTravelVariances[],ROW()-ROW(TrainingAndTravelVariances[[#Headers],[8월]]),1),INDEX(교육_및_여행계획[],,1),0),MATCH(TrainingAndTravelVariances[[#Headers],[8월]],교육_및_여행계획[#Headers],0))-INDEX(교육_및_여행실비[],MATCH(INDEX(TrainingAndTravelVariances[],ROW()-ROW(TrainingAndTravelVariances[[#Headers],[8월]]),1),INDEX(교육_및_여행계획[],,1),0),MATCH(TrainingAndTravelVariances[[#Headers],[8월]],교육_및_여행실비[#Headers],0))</f>
        <v>2000</v>
      </c>
      <c r="K32" s="42">
        <f>INDEX(교육_및_여행계획[],MATCH(INDEX(TrainingAndTravelVariances[],ROW()-ROW(TrainingAndTravelVariances[[#Headers],[9월]]),1),INDEX(교육_및_여행계획[],,1),0),MATCH(TrainingAndTravelVariances[[#Headers],[9월]],교육_및_여행계획[#Headers],0))-INDEX(교육_및_여행실비[],MATCH(INDEX(TrainingAndTravelVariances[],ROW()-ROW(TrainingAndTravelVariances[[#Headers],[9월]]),1),INDEX(교육_및_여행계획[],,1),0),MATCH(TrainingAndTravelVariances[[#Headers],[9월]],교육_및_여행실비[#Headers],0))</f>
        <v>2000</v>
      </c>
      <c r="L32" s="42">
        <f>INDEX(교육_및_여행계획[],MATCH(INDEX(TrainingAndTravelVariances[],ROW()-ROW(TrainingAndTravelVariances[[#Headers],[10월]]),1),INDEX(교육_및_여행계획[],,1),0),MATCH(TrainingAndTravelVariances[[#Headers],[10월]],교육_및_여행계획[#Headers],0))-INDEX(교육_및_여행실비[],MATCH(INDEX(TrainingAndTravelVariances[],ROW()-ROW(TrainingAndTravelVariances[[#Headers],[10월]]),1),INDEX(교육_및_여행계획[],,1),0),MATCH(TrainingAndTravelVariances[[#Headers],[10월]],교육_및_여행실비[#Headers],0))</f>
        <v>2000</v>
      </c>
      <c r="M32" s="42">
        <f>INDEX(교육_및_여행계획[],MATCH(INDEX(TrainingAndTravelVariances[],ROW()-ROW(TrainingAndTravelVariances[[#Headers],[11월]]),1),INDEX(교육_및_여행계획[],,1),0),MATCH(TrainingAndTravelVariances[[#Headers],[11월]],교육_및_여행계획[#Headers],0))-INDEX(교육_및_여행실비[],MATCH(INDEX(TrainingAndTravelVariances[],ROW()-ROW(TrainingAndTravelVariances[[#Headers],[11월]]),1),INDEX(교육_및_여행계획[],,1),0),MATCH(TrainingAndTravelVariances[[#Headers],[11월]],교육_및_여행실비[#Headers],0))</f>
        <v>2000</v>
      </c>
      <c r="N32" s="42">
        <f>INDEX(교육_및_여행계획[],MATCH(INDEX(TrainingAndTravelVariances[],ROW()-ROW(TrainingAndTravelVariances[[#Headers],[12월]]),1),INDEX(교육_및_여행계획[],,1),0),MATCH(TrainingAndTravelVariances[[#Headers],[12월]],교육_및_여행계획[#Headers],0))-INDEX(교육_및_여행실비[],MATCH(INDEX(TrainingAndTravelVariances[],ROW()-ROW(TrainingAndTravelVariances[[#Headers],[12월]]),1),INDEX(교육_및_여행계획[],,1),0),MATCH(TrainingAndTravelVariances[[#Headers],[12월]],교육_및_여행실비[#Headers],0))</f>
        <v>2000</v>
      </c>
      <c r="O32" s="43">
        <f>SUM(TrainingAndTravelVariances[[#This Row],[1월]:[12월]])</f>
        <v>13700</v>
      </c>
    </row>
    <row r="33" spans="1:15" ht="24.9" customHeight="1">
      <c r="A33" s="13"/>
      <c r="B33" s="35" t="s">
        <v>4</v>
      </c>
      <c r="C33" s="47">
        <f>SUBTOTAL(109,TrainingAndTravelVariances[1월])</f>
        <v>1200</v>
      </c>
      <c r="D33" s="47">
        <f>SUBTOTAL(109,TrainingAndTravelVariances[2월])</f>
        <v>-600</v>
      </c>
      <c r="E33" s="47">
        <f>SUBTOTAL(109,TrainingAndTravelVariances[3월])</f>
        <v>1200</v>
      </c>
      <c r="F33" s="47">
        <f>SUBTOTAL(109,TrainingAndTravelVariances[4월])</f>
        <v>1200</v>
      </c>
      <c r="G33" s="47">
        <f>SUBTOTAL(109,TrainingAndTravelVariances[5월])</f>
        <v>2000</v>
      </c>
      <c r="H33" s="47">
        <f>SUBTOTAL(109,TrainingAndTravelVariances[6월])</f>
        <v>-2300</v>
      </c>
      <c r="I33" s="47">
        <f>SUBTOTAL(109,TrainingAndTravelVariances[7월])</f>
        <v>4000</v>
      </c>
      <c r="J33" s="47">
        <f>SUBTOTAL(109,TrainingAndTravelVariances[8월])</f>
        <v>4000</v>
      </c>
      <c r="K33" s="47">
        <f>SUBTOTAL(109,TrainingAndTravelVariances[9월])</f>
        <v>4000</v>
      </c>
      <c r="L33" s="47">
        <f>SUBTOTAL(109,TrainingAndTravelVariances[10월])</f>
        <v>4000</v>
      </c>
      <c r="M33" s="47">
        <f>SUBTOTAL(109,TrainingAndTravelVariances[11월])</f>
        <v>4000</v>
      </c>
      <c r="N33" s="47">
        <f>SUBTOTAL(109,TrainingAndTravelVariances[12월])</f>
        <v>4000</v>
      </c>
      <c r="O33" s="48">
        <f>SUBTOTAL(109,TrainingAndTravelVariances[연도])</f>
        <v>26700</v>
      </c>
    </row>
    <row r="34" spans="1:15" ht="21" customHeight="1">
      <c r="A34" s="13"/>
      <c r="B34" s="19"/>
      <c r="C34" s="19"/>
      <c r="D34" s="45"/>
      <c r="E34" s="45"/>
      <c r="F34" s="45"/>
      <c r="G34" s="45"/>
      <c r="H34" s="45"/>
      <c r="I34" s="45"/>
      <c r="J34" s="45"/>
      <c r="K34" s="45"/>
      <c r="L34" s="45"/>
      <c r="M34" s="45"/>
      <c r="N34" s="45"/>
      <c r="O34" s="45"/>
    </row>
    <row r="35" spans="1:15" ht="24.9" customHeight="1" thickBot="1">
      <c r="A35" s="36"/>
      <c r="B35" s="37" t="s">
        <v>24</v>
      </c>
      <c r="C35" s="38" t="s">
        <v>27</v>
      </c>
      <c r="D35" s="38" t="s">
        <v>28</v>
      </c>
      <c r="E35" s="38" t="s">
        <v>29</v>
      </c>
      <c r="F35" s="38" t="s">
        <v>30</v>
      </c>
      <c r="G35" s="38" t="s">
        <v>31</v>
      </c>
      <c r="H35" s="38" t="s">
        <v>32</v>
      </c>
      <c r="I35" s="38" t="s">
        <v>33</v>
      </c>
      <c r="J35" s="38" t="s">
        <v>34</v>
      </c>
      <c r="K35" s="38" t="s">
        <v>37</v>
      </c>
      <c r="L35" s="38" t="s">
        <v>38</v>
      </c>
      <c r="M35" s="38" t="s">
        <v>39</v>
      </c>
      <c r="N35" s="38" t="s">
        <v>40</v>
      </c>
      <c r="O35" s="38" t="s">
        <v>41</v>
      </c>
    </row>
    <row r="36" spans="1:15" ht="24.9" customHeight="1" thickBot="1">
      <c r="A36" s="13"/>
      <c r="B36" s="39" t="s">
        <v>44</v>
      </c>
      <c r="C36" s="51">
        <f>TrainingAndTravelVariances[[#Totals],[1월]]+MarketingVariances[[#Totals],[1월]]+OfficeVariances[[#Totals],[1월]]+EmployeeVariances[[#Totals],[1월]]</f>
        <v>1738</v>
      </c>
      <c r="D36" s="51">
        <f>TrainingAndTravelVariances[[#Totals],[2월]]+MarketingVariances[[#Totals],[2월]]+OfficeVariances[[#Totals],[2월]]+EmployeeVariances[[#Totals],[2월]]</f>
        <v>-984</v>
      </c>
      <c r="E36" s="51">
        <f>TrainingAndTravelVariances[[#Totals],[3월]]+MarketingVariances[[#Totals],[3월]]+OfficeVariances[[#Totals],[3월]]+EmployeeVariances[[#Totals],[3월]]</f>
        <v>1255</v>
      </c>
      <c r="F36" s="51">
        <f>TrainingAndTravelVariances[[#Totals],[4월]]+MarketingVariances[[#Totals],[4월]]+OfficeVariances[[#Totals],[4월]]+EmployeeVariances[[#Totals],[4월]]</f>
        <v>301</v>
      </c>
      <c r="G36" s="51">
        <f>TrainingAndTravelVariances[[#Totals],[5월]]+MarketingVariances[[#Totals],[5월]]+OfficeVariances[[#Totals],[5월]]+EmployeeVariances[[#Totals],[5월]]</f>
        <v>1440</v>
      </c>
      <c r="H36" s="51">
        <f>TrainingAndTravelVariances[[#Totals],[6월]]+MarketingVariances[[#Totals],[6월]]+OfficeVariances[[#Totals],[6월]]+EmployeeVariances[[#Totals],[6월]]</f>
        <v>-3744</v>
      </c>
      <c r="I36" s="51">
        <f>TrainingAndTravelVariances[[#Totals],[7월]]+MarketingVariances[[#Totals],[7월]]+OfficeVariances[[#Totals],[7월]]+EmployeeVariances[[#Totals],[7월]]</f>
        <v>134695</v>
      </c>
      <c r="J36" s="51">
        <f>TrainingAndTravelVariances[[#Totals],[8월]]+MarketingVariances[[#Totals],[8월]]+OfficeVariances[[#Totals],[8월]]+EmployeeVariances[[#Totals],[8월]]</f>
        <v>138918</v>
      </c>
      <c r="K36" s="51">
        <f>TrainingAndTravelVariances[[#Totals],[9월]]+MarketingVariances[[#Totals],[9월]]+OfficeVariances[[#Totals],[9월]]+EmployeeVariances[[#Totals],[9월]]</f>
        <v>135918</v>
      </c>
      <c r="L36" s="51">
        <f>TrainingAndTravelVariances[[#Totals],[10월]]+MarketingVariances[[#Totals],[10월]]+OfficeVariances[[#Totals],[10월]]+EmployeeVariances[[#Totals],[10월]]</f>
        <v>140918</v>
      </c>
      <c r="M36" s="51">
        <f>TrainingAndTravelVariances[[#Totals],[11월]]+MarketingVariances[[#Totals],[11월]]+OfficeVariances[[#Totals],[11월]]+EmployeeVariances[[#Totals],[11월]]</f>
        <v>136218</v>
      </c>
      <c r="N36" s="51">
        <f>TrainingAndTravelVariances[[#Totals],[12월]]+MarketingVariances[[#Totals],[12월]]+OfficeVariances[[#Totals],[12월]]+EmployeeVariances[[#Totals],[12월]]</f>
        <v>140018</v>
      </c>
      <c r="O36" s="51">
        <f>TrainingAndTravelVariances[[#Totals],[연도]]+MarketingVariances[[#Totals],[연도]]+OfficeVariances[[#Totals],[연도]]+EmployeeVariances[[#Totals],[연도]]</f>
        <v>826691</v>
      </c>
    </row>
    <row r="37" spans="1:15" ht="24.9" customHeight="1" thickBot="1">
      <c r="A37" s="13"/>
      <c r="B37" s="39" t="s">
        <v>45</v>
      </c>
      <c r="C37" s="52">
        <f>SUM($C$36:C36)</f>
        <v>1738</v>
      </c>
      <c r="D37" s="52">
        <f>SUM($C$36:D36)</f>
        <v>754</v>
      </c>
      <c r="E37" s="52">
        <f>SUM($C$36:E36)</f>
        <v>2009</v>
      </c>
      <c r="F37" s="52">
        <f>SUM($C$36:F36)</f>
        <v>2310</v>
      </c>
      <c r="G37" s="52">
        <f>SUM($C$36:G36)</f>
        <v>3750</v>
      </c>
      <c r="H37" s="52">
        <f>SUM($C$36:H36)</f>
        <v>6</v>
      </c>
      <c r="I37" s="52">
        <f>SUM($C$36:I36)</f>
        <v>134701</v>
      </c>
      <c r="J37" s="52">
        <f>SUM($C$36:J36)</f>
        <v>273619</v>
      </c>
      <c r="K37" s="52">
        <f>SUM($C$36:K36)</f>
        <v>409537</v>
      </c>
      <c r="L37" s="52">
        <f>SUM($C$36:L36)</f>
        <v>550455</v>
      </c>
      <c r="M37" s="52">
        <f>SUM($C$36:M36)</f>
        <v>686673</v>
      </c>
      <c r="N37" s="52">
        <f>SUM($C$36:N36)</f>
        <v>826691</v>
      </c>
      <c r="O37" s="52"/>
    </row>
    <row r="38" spans="1:15" ht="21" customHeight="1">
      <c r="A38" s="13"/>
      <c r="D38" s="40"/>
    </row>
  </sheetData>
  <mergeCells count="2">
    <mergeCell ref="K2:M2"/>
    <mergeCell ref="K3:M3"/>
  </mergeCells>
  <phoneticPr fontId="3" type="noConversion"/>
  <conditionalFormatting sqref="C6:O8">
    <cfRule type="cellIs" dxfId="184" priority="5" operator="lessThan">
      <formula>0</formula>
    </cfRule>
  </conditionalFormatting>
  <conditionalFormatting sqref="C11:O19">
    <cfRule type="cellIs" dxfId="183" priority="4" operator="lessThan">
      <formula>0</formula>
    </cfRule>
  </conditionalFormatting>
  <conditionalFormatting sqref="C22:O28">
    <cfRule type="cellIs" dxfId="182" priority="3" operator="lessThan">
      <formula>0</formula>
    </cfRule>
  </conditionalFormatting>
  <conditionalFormatting sqref="C31:O33">
    <cfRule type="cellIs" dxfId="181" priority="2" operator="lessThan">
      <formula>0</formula>
    </cfRule>
  </conditionalFormatting>
  <conditionalFormatting sqref="C36:O37">
    <cfRule type="cellIs" dxfId="180" priority="1" operator="lessThan">
      <formula>0</formula>
    </cfRule>
  </conditionalFormatting>
  <dataValidations count="10">
    <dataValidation allowBlank="1" showInputMessage="1" showErrorMessage="1" prompt="이 셀에는 로고 개체 틀이 있습니다." sqref="N2" xr:uid="{37781601-5DCB-461E-AE37-039617AC3765}"/>
    <dataValidation allowBlank="1" showInputMessage="1" showErrorMessage="1" prompt="오른쪽 셀에는 [지출 차이] 레이블, C4 ~ N4 셀에는 월, O4 셀에는 [연도] 레이블이 있습니다." sqref="A4" xr:uid="{30EF6476-989C-4E19-8BDE-66AFC1B5F398}"/>
    <dataValidation allowBlank="1" showInputMessage="1" showErrorMessage="1" prompt="직원 비용의 차이는 오른쪽 셀에서 시작하는 Employee Variances 테이블에서 자동으로 계산됩니다. 다음 명령은 셀 A10에 있습니다." sqref="A5" xr:uid="{839F8F2D-41ED-4FCE-836B-A98A823A57CC}"/>
    <dataValidation allowBlank="1" showInputMessage="1" showErrorMessage="1" prompt="Office 비용의 차이는 오른쪽 셀부터 Office 분산 테이블에서 자동으로 계산됩니다. 다음 명령은 A21 셀에 있습니다." sqref="A10" xr:uid="{27073073-4E55-44AA-82CF-0E84E7DE56D1}"/>
    <dataValidation allowBlank="1" showInputMessage="1" showErrorMessage="1" prompt="마케팅 비용의 차이는 오른쪽 셀부터 Marketing Variances 테이블에서 자동으로 계산됩니다. 다음 명령은 셀 A30에 있습니다." sqref="A21" xr:uid="{DE322E29-78F0-4CAC-A794-538FBE82A952}"/>
    <dataValidation allowBlank="1" showInputMessage="1" showErrorMessage="1" prompt="학습 또는 여행 비용의 차이는 오른쪽 셀부터 학습 및 여행 가변성 표에서 자동으로 계산됩니다. 다음 명령은 셀 A35에 있습니다." sqref="A30" xr:uid="{E7DC2698-49F1-46FA-BC02-81CE67BF794B}"/>
    <dataValidation allowBlank="1" showInputMessage="1" showErrorMessage="1" prompt="오른쪽 셀에서 시작하는 합계 차이 표에 지출 차이가 자동으로 계산됩니다." sqref="A35" xr:uid="{96167FAC-0878-4372-B9C2-FE529C7ABF6D}"/>
    <dataValidation allowBlank="1" showInputMessage="1" showErrorMessage="1" prompt="이 워크시트의 각 테이블에 계획된 직원 비용, 사무실 비용, 마케팅 비용 및 교육 또는 출장 비용을 입력합니다. 합계는 자동으로 계산됩니다. 이 워크시트를 사용하는 방법에 대한 지침은 이 열의 셀에 있습니다. 시작하려면 아래쪽 화살표를 누르세요." sqref="A1" xr:uid="{C935014E-97FD-4DC5-8990-FFCC7A693081}"/>
    <dataValidation allowBlank="1" showInputMessage="1" showErrorMessage="1" prompt="회사 이름은 오른쪽 셀에서 자동으로 업데이트됩니다. 이 워크시트의 제목은 K2 셀에 있습니다. N2 셀에 로고를 입력합니다." sqref="A2" xr:uid="{ACC2090E-7A1F-4581-8E9B-5F88818E0C50}"/>
    <dataValidation allowBlank="1" showInputMessage="1" showErrorMessage="1" prompt="K3 셀에 팁이 표시됩니다." sqref="A3" xr:uid="{6033F748-E9D5-4DE6-B824-555D5C6CA4CF}"/>
  </dataValidations>
  <pageMargins left="0.7" right="0.7" top="0.75" bottom="0.75" header="0.3" footer="0.3"/>
  <pageSetup paperSize="9" scale="77" fitToHeight="0" orientation="portrait" r:id="rId1"/>
  <rowBreaks count="1" manualBreakCount="1">
    <brk id="32" max="16383" man="1"/>
  </rowBreaks>
  <colBreaks count="2" manualBreakCount="2">
    <brk id="6" max="1048575" man="1"/>
    <brk id="12" max="1048575" man="1"/>
  </colBreaks>
  <ignoredErrors>
    <ignoredError sqref="B2" emptyCellReference="1"/>
    <ignoredError sqref="C36:O37" calculatedColumn="1"/>
  </ignoredErrors>
  <drawing r:id="rId2"/>
  <tableParts count="5">
    <tablePart r:id="rId3"/>
    <tablePart r:id="rId4"/>
    <tablePart r:id="rId5"/>
    <tablePart r:id="rId6"/>
    <tablePart r:id="rId7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5">
    <tabColor theme="8"/>
    <pageSetUpPr autoPageBreaks="0"/>
  </sheetPr>
  <dimension ref="A1:P39"/>
  <sheetViews>
    <sheetView showGridLines="0" zoomScaleNormal="100" workbookViewId="0"/>
  </sheetViews>
  <sheetFormatPr defaultColWidth="9.125" defaultRowHeight="21"/>
  <cols>
    <col min="1" max="1" width="4.75" style="71" customWidth="1"/>
    <col min="2" max="2" width="26.25" style="29" customWidth="1"/>
    <col min="3" max="3" width="23.25" style="29" customWidth="1"/>
    <col min="4" max="4" width="24.25" style="29" customWidth="1"/>
    <col min="5" max="5" width="23" style="29" customWidth="1"/>
    <col min="6" max="6" width="24.625" style="29" customWidth="1"/>
    <col min="7" max="7" width="4.75" style="5" customWidth="1"/>
    <col min="8" max="8" width="9" customWidth="1"/>
    <col min="9" max="16384" width="9.125" style="29"/>
  </cols>
  <sheetData>
    <row r="1" spans="1:16" s="5" customFormat="1" ht="24" customHeight="1">
      <c r="A1" s="53"/>
      <c r="B1" s="2"/>
      <c r="C1" s="2"/>
      <c r="D1" s="2"/>
      <c r="E1" s="3"/>
      <c r="F1" s="3"/>
      <c r="G1" s="4" t="s">
        <v>42</v>
      </c>
      <c r="I1"/>
      <c r="J1"/>
      <c r="K1"/>
      <c r="L1"/>
      <c r="M1"/>
      <c r="N1"/>
      <c r="O1"/>
      <c r="P1" t="s">
        <v>42</v>
      </c>
    </row>
    <row r="2" spans="1:16" s="5" customFormat="1" ht="45" customHeight="1">
      <c r="A2" s="53"/>
      <c r="B2" s="7" t="str">
        <f>'계획한 지출'!B2:D3</f>
        <v>오빠두엑셀</v>
      </c>
      <c r="C2" s="7"/>
      <c r="D2" s="7"/>
      <c r="E2" s="54"/>
      <c r="F2" s="55"/>
      <c r="G2" s="55"/>
      <c r="I2"/>
      <c r="J2"/>
      <c r="K2"/>
      <c r="L2"/>
      <c r="M2"/>
      <c r="N2"/>
      <c r="O2"/>
      <c r="P2"/>
    </row>
    <row r="3" spans="1:16" s="5" customFormat="1" ht="30" customHeight="1">
      <c r="A3" s="53"/>
      <c r="B3" s="7"/>
      <c r="C3" s="7"/>
      <c r="D3" s="7"/>
      <c r="E3" s="171" t="str">
        <f>워크시트_제목</f>
        <v>세부 지출 예상 항목</v>
      </c>
      <c r="F3" s="171"/>
      <c r="G3" s="171"/>
      <c r="I3"/>
      <c r="J3"/>
      <c r="K3"/>
      <c r="L3"/>
      <c r="M3"/>
      <c r="N3"/>
      <c r="O3"/>
      <c r="P3"/>
    </row>
    <row r="4" spans="1:16" customFormat="1" ht="18.75" customHeight="1">
      <c r="A4" s="49"/>
    </row>
    <row r="5" spans="1:16" ht="24.9" customHeight="1" thickBot="1">
      <c r="A5" s="56"/>
      <c r="B5" s="57" t="s">
        <v>47</v>
      </c>
      <c r="C5" s="58" t="s">
        <v>0</v>
      </c>
      <c r="D5" s="59" t="s">
        <v>49</v>
      </c>
      <c r="E5" s="57" t="s">
        <v>50</v>
      </c>
      <c r="F5" s="60" t="s">
        <v>48</v>
      </c>
      <c r="G5" s="17"/>
      <c r="I5"/>
      <c r="J5"/>
      <c r="K5"/>
      <c r="L5"/>
      <c r="M5"/>
      <c r="N5"/>
      <c r="O5"/>
      <c r="P5"/>
    </row>
    <row r="6" spans="1:16" ht="24.9" customHeight="1" thickBot="1">
      <c r="A6" s="61"/>
      <c r="B6" s="62" t="s">
        <v>1</v>
      </c>
      <c r="C6" s="72">
        <f>직원계획[[#Totals],[연도]]</f>
        <v>1355090</v>
      </c>
      <c r="D6" s="72">
        <f>직원실비[[#Totals],[연도]]</f>
        <v>659130</v>
      </c>
      <c r="E6" s="72">
        <f>C6-D6</f>
        <v>695960</v>
      </c>
      <c r="F6" s="63">
        <f>E6/C6</f>
        <v>0.5135895032802249</v>
      </c>
    </row>
    <row r="7" spans="1:16" ht="24.9" customHeight="1" thickBot="1">
      <c r="A7" s="56"/>
      <c r="B7" s="62" t="str">
        <f>'계획한 지출'!B10</f>
        <v>사무 비용</v>
      </c>
      <c r="C7" s="72">
        <f>사무실계획[[#Totals],[연도]]</f>
        <v>138740</v>
      </c>
      <c r="D7" s="72">
        <f>사무실_실비[[#Totals],[연도]]</f>
        <v>69350</v>
      </c>
      <c r="E7" s="72">
        <f>C7-D7</f>
        <v>69390</v>
      </c>
      <c r="F7" s="63">
        <f>E7/C7</f>
        <v>0.50014415453366012</v>
      </c>
    </row>
    <row r="8" spans="1:16" ht="24.9" customHeight="1" thickBot="1">
      <c r="A8" s="56"/>
      <c r="B8" s="64" t="str">
        <f>'계획한 지출'!B21</f>
        <v>마케팅 비용</v>
      </c>
      <c r="C8" s="72">
        <f>마케팅계획[[#Totals],[연도]]</f>
        <v>67800</v>
      </c>
      <c r="D8" s="72">
        <f>마케팅_실비[[#Totals],[연도]]</f>
        <v>33159</v>
      </c>
      <c r="E8" s="72">
        <f>C8-D8</f>
        <v>34641</v>
      </c>
      <c r="F8" s="63">
        <f>E8/C8</f>
        <v>0.51092920353982296</v>
      </c>
    </row>
    <row r="9" spans="1:16" ht="24.9" customHeight="1" thickBot="1">
      <c r="A9" s="56"/>
      <c r="B9" s="64" t="str">
        <f>'계획한 지출'!B30</f>
        <v>교육/출장</v>
      </c>
      <c r="C9" s="72">
        <f>교육_및_여행계획[[#Totals],[연도]]</f>
        <v>48000</v>
      </c>
      <c r="D9" s="72">
        <f>교육_및_여행실비[[#Totals],[연도]]</f>
        <v>21300</v>
      </c>
      <c r="E9" s="72">
        <f>C9-D9</f>
        <v>26700</v>
      </c>
      <c r="F9" s="63">
        <f>E9/C9</f>
        <v>0.55625000000000002</v>
      </c>
    </row>
    <row r="10" spans="1:16" ht="24.9" customHeight="1">
      <c r="A10" s="56"/>
      <c r="B10" s="65" t="str">
        <f>'계획한 지출'!B35</f>
        <v>합계</v>
      </c>
      <c r="C10" s="73">
        <f>'계획한 지출'!O36</f>
        <v>1609630</v>
      </c>
      <c r="D10" s="73">
        <f>'실제 지출'!O36</f>
        <v>782939</v>
      </c>
      <c r="E10" s="73">
        <f>C10-D10</f>
        <v>826691</v>
      </c>
      <c r="F10" s="66">
        <f>E10/C10</f>
        <v>0.51359070096854553</v>
      </c>
    </row>
    <row r="11" spans="1:16">
      <c r="A11" s="56"/>
      <c r="B11" s="67"/>
      <c r="C11" s="74"/>
      <c r="D11" s="74"/>
      <c r="E11" s="74"/>
      <c r="F11" s="68"/>
    </row>
    <row r="12" spans="1:16" ht="300" customHeight="1">
      <c r="A12" s="56"/>
      <c r="B12" s="172"/>
      <c r="C12" s="172"/>
      <c r="D12" s="172"/>
      <c r="E12" s="172"/>
      <c r="F12" s="172"/>
      <c r="G12"/>
    </row>
    <row r="13" spans="1:16" ht="18.75" customHeight="1">
      <c r="A13" s="56"/>
      <c r="B13" s="69"/>
    </row>
    <row r="14" spans="1:16">
      <c r="A14" s="56"/>
      <c r="B14" s="69"/>
      <c r="C14" s="20"/>
      <c r="D14" s="20"/>
      <c r="E14" s="20"/>
      <c r="F14" s="20"/>
    </row>
    <row r="15" spans="1:16">
      <c r="A15" s="56"/>
      <c r="B15" s="69"/>
      <c r="C15" s="20"/>
      <c r="D15" s="20"/>
      <c r="E15" s="20"/>
      <c r="F15" s="20"/>
    </row>
    <row r="16" spans="1:16">
      <c r="A16" s="56"/>
      <c r="B16" s="69"/>
      <c r="C16" s="20"/>
      <c r="D16" s="20"/>
      <c r="E16" s="20"/>
      <c r="F16" s="20"/>
    </row>
    <row r="17" spans="1:6">
      <c r="A17" s="56"/>
      <c r="B17" s="69"/>
      <c r="C17" s="20"/>
      <c r="D17" s="20"/>
      <c r="E17" s="20"/>
      <c r="F17" s="20"/>
    </row>
    <row r="18" spans="1:6">
      <c r="A18" s="56"/>
      <c r="B18" s="69"/>
      <c r="C18" s="20"/>
      <c r="D18" s="20"/>
      <c r="E18" s="20"/>
      <c r="F18" s="20"/>
    </row>
    <row r="19" spans="1:6">
      <c r="A19" s="56"/>
      <c r="B19" s="20"/>
      <c r="C19" s="20"/>
      <c r="D19" s="20"/>
      <c r="E19" s="20"/>
      <c r="F19" s="20"/>
    </row>
    <row r="20" spans="1:6">
      <c r="A20" s="56"/>
      <c r="B20" s="20"/>
      <c r="C20" s="20"/>
      <c r="D20" s="20"/>
      <c r="E20" s="20"/>
      <c r="F20" s="20"/>
    </row>
    <row r="21" spans="1:6">
      <c r="A21" s="56"/>
      <c r="B21" s="20"/>
      <c r="C21" s="20"/>
      <c r="D21" s="20"/>
      <c r="E21" s="20"/>
      <c r="F21" s="20"/>
    </row>
    <row r="22" spans="1:6">
      <c r="A22" s="56"/>
      <c r="B22" s="69"/>
      <c r="C22" s="20"/>
      <c r="D22" s="20"/>
      <c r="E22" s="20"/>
      <c r="F22" s="20"/>
    </row>
    <row r="23" spans="1:6">
      <c r="A23" s="56"/>
      <c r="B23" s="69"/>
      <c r="C23" s="20"/>
      <c r="D23" s="20"/>
      <c r="E23" s="20"/>
      <c r="F23" s="20"/>
    </row>
    <row r="24" spans="1:6">
      <c r="A24" s="56"/>
      <c r="B24" s="69"/>
      <c r="C24" s="20"/>
      <c r="D24" s="20"/>
      <c r="E24" s="20"/>
      <c r="F24" s="20"/>
    </row>
    <row r="25" spans="1:6">
      <c r="A25" s="56"/>
      <c r="B25" s="69"/>
      <c r="C25" s="20"/>
      <c r="D25" s="20"/>
      <c r="E25" s="20"/>
      <c r="F25" s="20"/>
    </row>
    <row r="26" spans="1:6">
      <c r="A26" s="56"/>
      <c r="B26" s="69"/>
      <c r="C26" s="20"/>
      <c r="D26" s="20"/>
      <c r="E26" s="20"/>
      <c r="F26" s="20"/>
    </row>
    <row r="27" spans="1:6">
      <c r="A27" s="56"/>
      <c r="B27" s="69"/>
      <c r="C27" s="20"/>
      <c r="D27" s="20"/>
      <c r="E27" s="20"/>
      <c r="F27" s="20"/>
    </row>
    <row r="28" spans="1:6">
      <c r="A28" s="56"/>
      <c r="B28" s="20"/>
      <c r="C28" s="20"/>
      <c r="D28" s="20"/>
      <c r="E28" s="20"/>
      <c r="F28" s="20"/>
    </row>
    <row r="29" spans="1:6">
      <c r="A29" s="56"/>
      <c r="B29" s="20"/>
      <c r="C29" s="20"/>
      <c r="D29" s="20"/>
      <c r="E29" s="20"/>
      <c r="F29" s="20"/>
    </row>
    <row r="30" spans="1:6">
      <c r="A30" s="56"/>
      <c r="B30" s="20"/>
      <c r="C30" s="20"/>
      <c r="D30" s="20"/>
      <c r="E30" s="20"/>
      <c r="F30" s="20"/>
    </row>
    <row r="31" spans="1:6">
      <c r="A31" s="56"/>
      <c r="B31" s="69"/>
      <c r="C31" s="20"/>
      <c r="D31" s="20"/>
      <c r="E31" s="20"/>
      <c r="F31" s="20"/>
    </row>
    <row r="32" spans="1:6">
      <c r="A32" s="56"/>
      <c r="B32" s="69"/>
      <c r="C32" s="20"/>
      <c r="D32" s="20"/>
      <c r="E32" s="20"/>
      <c r="F32" s="20"/>
    </row>
    <row r="33" spans="1:6">
      <c r="A33" s="56"/>
      <c r="B33" s="20"/>
      <c r="C33" s="20"/>
      <c r="D33" s="20"/>
      <c r="E33" s="20"/>
      <c r="F33" s="20"/>
    </row>
    <row r="34" spans="1:6">
      <c r="A34" s="56"/>
      <c r="B34" s="20"/>
      <c r="C34" s="20"/>
      <c r="D34" s="20"/>
      <c r="E34" s="20"/>
      <c r="F34" s="20"/>
    </row>
    <row r="35" spans="1:6">
      <c r="A35" s="56"/>
      <c r="B35" s="20"/>
      <c r="C35" s="20"/>
      <c r="D35" s="20"/>
      <c r="E35" s="20"/>
      <c r="F35" s="20"/>
    </row>
    <row r="36" spans="1:6">
      <c r="A36" s="56"/>
      <c r="B36" s="70"/>
      <c r="C36" s="20"/>
      <c r="D36" s="20"/>
      <c r="E36" s="20"/>
      <c r="F36" s="20"/>
    </row>
    <row r="37" spans="1:6">
      <c r="A37" s="56"/>
      <c r="B37" s="70"/>
      <c r="C37" s="20"/>
      <c r="D37" s="20"/>
      <c r="E37" s="20"/>
      <c r="F37" s="20"/>
    </row>
    <row r="38" spans="1:6">
      <c r="A38" s="56"/>
    </row>
    <row r="39" spans="1:6">
      <c r="A39" s="56"/>
    </row>
  </sheetData>
  <mergeCells count="2">
    <mergeCell ref="E3:G3"/>
    <mergeCell ref="B12:F12"/>
  </mergeCells>
  <phoneticPr fontId="3" type="noConversion"/>
  <dataValidations count="8">
    <dataValidation allowBlank="1" showInputMessage="1" showErrorMessage="1" prompt="이 셀에는 다양한 범주의 계획 지출을 보여 주는 원형 차트가 있습니다." sqref="B12:F12" xr:uid="{B2131E0D-FC0E-41E0-A823-1146E5092945}"/>
    <dataValidation allowBlank="1" showInputMessage="1" showErrorMessage="1" prompt="이 워크시트의 각 경비 범주에 대해 연간 계획 및 실제 경비, 비용 차이 및 차이 백분율이 자동으로 업데이트됩니다. 이 워크시트를 사용하는 방법에 대한 유용한 지침은 이 열의 셀에 있습니다. 시작하려면 아래쪽 화살표를 선택합니다." sqref="A1" xr:uid="{2B6B986C-CF09-4535-B287-5D9961D543F9}"/>
    <dataValidation allowBlank="1" showInputMessage="1" showErrorMessage="1" prompt="회사 이름은 오른쪽 셀에서 자동으로 업데이트됩니다. F2 셀에 로고를 입력합니다." sqref="A2" xr:uid="{54F690A8-E3B2-49FE-B037-4CB57E2B08A1}"/>
    <dataValidation allowBlank="1" showInputMessage="1" showErrorMessage="1" prompt="이 워크시트의 제목은 셀 E3에 있습니다. 다음 명령은 셀 A5에 있습니다." sqref="A3" xr:uid="{FED07153-5704-491F-BD0F-28D4A0F15619}"/>
    <dataValidation allowBlank="1" showInputMessage="1" showErrorMessage="1" prompt="계획된 경비, 실제 경비, 비용 차이 및 분산 백분율은 오른쪽 셀부터 분석 테이블에서 자동으로 계산됩니다. 다음 명령은 셀 A12에 있습니다." sqref="A5" xr:uid="{17A4F301-0551-4056-B357-1FCC3532C5BE}"/>
    <dataValidation allowBlank="1" showInputMessage="1" showErrorMessage="1" prompt="계획된 경비 원형 차트는 오른쪽 셀에 있고 실제 경비 원형 차트는 D12 셀에 있습니다. 다음 명령은 셀 A14에 있습니다." sqref="A12" xr:uid="{FE13E92D-A1BA-4BB9-9C16-0CDEB5285C6E}"/>
    <dataValidation allowBlank="1" showInputMessage="1" showErrorMessage="1" prompt="오른쪽 셀에 월별 지출의 계획, 실제, 차이를 보여 주는 차트가 있습니다." sqref="A14" xr:uid="{A5F374DB-643C-44A4-B534-F79A39786B80}"/>
    <dataValidation allowBlank="1" showInputMessage="1" showErrorMessage="1" prompt="이 셀에는 로고 개체 틀이 있습니다." sqref="F2:G2" xr:uid="{831A4984-168B-4337-BAEA-80B7246F2962}"/>
  </dataValidations>
  <pageMargins left="0.7" right="0.7" top="0.75" bottom="0.75" header="0.3" footer="0.3"/>
  <pageSetup paperSize="9" scale="98" orientation="portrait" r:id="rId1"/>
  <colBreaks count="1" manualBreakCount="1">
    <brk id="4" max="1048575" man="1"/>
  </colBreaks>
  <ignoredErrors>
    <ignoredError sqref="B2" emptyCellReference="1"/>
  </ignoredErrors>
  <drawing r:id="rId2"/>
  <tableParts count="1">
    <tablePart r:id="rId3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9F111ED35F8CC479449609E8A0923A6" ma:contentTypeVersion="24" ma:contentTypeDescription="Create a new document." ma:contentTypeScope="" ma:versionID="2d714a3296df14eba7a100bb665443ca">
  <xsd:schema xmlns:xsd="http://www.w3.org/2001/XMLSchema" xmlns:xs="http://www.w3.org/2001/XMLSchema" xmlns:p="http://schemas.microsoft.com/office/2006/metadata/properties" xmlns:ns1="http://schemas.microsoft.com/sharepoint/v3" xmlns:ns2="71af3243-3dd4-4a8d-8c0d-dd76da1f02a5" xmlns:ns3="16c05727-aa75-4e4a-9b5f-8a80a1165891" xmlns:ns4="230e9df3-be65-4c73-a93b-d1236ebd677e" targetNamespace="http://schemas.microsoft.com/office/2006/metadata/properties" ma:root="true" ma:fieldsID="49549bf45bfbbfb6cffed527380e77e1" ns1:_="" ns2:_="" ns3:_="" ns4:_="">
    <xsd:import namespace="http://schemas.microsoft.com/sharepoint/v3"/>
    <xsd:import namespace="71af3243-3dd4-4a8d-8c0d-dd76da1f02a5"/>
    <xsd:import namespace="16c05727-aa75-4e4a-9b5f-8a80a1165891"/>
    <xsd:import namespace="230e9df3-be65-4c73-a93b-d1236ebd677e"/>
    <xsd:element name="properties">
      <xsd:complexType>
        <xsd:sequence>
          <xsd:element name="documentManagement">
            <xsd:complexType>
              <xsd:all>
                <xsd:element ref="ns2:Status" minOccurs="0"/>
                <xsd:element ref="ns2:Image" minOccurs="0"/>
                <xsd:element ref="ns2:MediaServiceMetadata" minOccurs="0"/>
                <xsd:element ref="ns2:MediaServiceFastMetadata" minOccurs="0"/>
                <xsd:element ref="ns2:MediaServiceOCR" minOccurs="0"/>
                <xsd:element ref="ns2:MediaServiceAutoTags" minOccurs="0"/>
                <xsd:element ref="ns2:MediaServiceEventHashCode" minOccurs="0"/>
                <xsd:element ref="ns2:MediaServiceGenerationTime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1:_ip_UnifiedCompliancePolicyProperties" minOccurs="0"/>
                <xsd:element ref="ns1:_ip_UnifiedCompliancePolicyUIAction" minOccurs="0"/>
                <xsd:element ref="ns4:TaxCatchAll" minOccurs="0"/>
                <xsd:element ref="ns2:ImageTagsTaxHTField" minOccurs="0"/>
                <xsd:element ref="ns2:MediaServiceLocation" minOccurs="0"/>
                <xsd:element ref="ns2:MediaLengthInSeconds" minOccurs="0"/>
                <xsd:element ref="ns2:Backgroun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0" nillable="true" ma:displayName="Unified Compliance Policy Properties" ma:hidden="true" ma:internalName="_ip_UnifiedCompliancePolicyProperties" ma:readOnly="false">
      <xsd:simpleType>
        <xsd:restriction base="dms:Note"/>
      </xsd:simpleType>
    </xsd:element>
    <xsd:element name="_ip_UnifiedCompliancePolicyUIAction" ma:index="21" nillable="true" ma:displayName="Unified Compliance Policy UI Action" ma:hidden="true" ma:internalName="_ip_UnifiedCompliancePolicyUIAction" ma:readOnly="fals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1af3243-3dd4-4a8d-8c0d-dd76da1f02a5" elementFormDefault="qualified">
    <xsd:import namespace="http://schemas.microsoft.com/office/2006/documentManagement/types"/>
    <xsd:import namespace="http://schemas.microsoft.com/office/infopath/2007/PartnerControls"/>
    <xsd:element name="Status" ma:index="2" nillable="true" ma:displayName="Status" ma:default="Not started" ma:format="Dropdown" ma:internalName="Status" ma:readOnly="false">
      <xsd:simpleType>
        <xsd:restriction base="dms:Choice">
          <xsd:enumeration value="Not started"/>
          <xsd:enumeration value="In Progress"/>
          <xsd:enumeration value="Completed"/>
        </xsd:restriction>
      </xsd:simpleType>
    </xsd:element>
    <xsd:element name="Image" ma:index="3" nillable="true" ma:displayName="Image" ma:format="Image" ma:internalName="Image" ma:readOnly="fals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0" nillable="true" ma:displayName="MediaServiceOCR" ma:hidden="true" ma:internalName="MediaServiceOCR" ma:readOnly="true">
      <xsd:simpleType>
        <xsd:restriction base="dms:Note"/>
      </xsd:simpleType>
    </xsd:element>
    <xsd:element name="MediaServiceAutoTags" ma:index="11" nillable="true" ma:displayName="MediaServiceAutoTags" ma:hidden="true" ma:internalName="MediaServiceAutoTags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hidden="true" ma:internalName="MediaServiceKeyPoints" ma:readOnly="false">
      <xsd:simpleType>
        <xsd:restriction base="dms:Note"/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ImageTagsTaxHTField" ma:index="25" nillable="true" ma:taxonomy="true" ma:internalName="ImageTagsTaxHTField" ma:taxonomyFieldName="MediaServiceImageTags" ma:displayName="Image Tags" ma:readOnly="false" ma:fieldId="{5cf76f15-5ced-4ddc-b409-7134ff3c332f}" ma:taxonomyMulti="true" ma:sspId="e385fb40-52d4-4fae-9c5b-3e8ff8a5878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26" nillable="true" ma:displayName="Location" ma:hidden="true" ma:internalName="MediaServiceLocation" ma:readOnly="true">
      <xsd:simpleType>
        <xsd:restriction base="dms:Text"/>
      </xsd:simpleType>
    </xsd:element>
    <xsd:element name="MediaLengthInSeconds" ma:index="27" nillable="true" ma:displayName="MediaLengthInSeconds" ma:hidden="true" ma:internalName="MediaLengthInSeconds" ma:readOnly="true">
      <xsd:simpleType>
        <xsd:restriction base="dms:Unknown"/>
      </xsd:simpleType>
    </xsd:element>
    <xsd:element name="Background" ma:index="28" nillable="true" ma:displayName="Background" ma:default="0" ma:format="Dropdown" ma:internalName="Background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6c05727-aa75-4e4a-9b5f-8a80a1165891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hared With" ma:hidden="tru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hidden="true" ma:internalName="SharedWithDetail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30e9df3-be65-4c73-a93b-d1236ebd677e" elementFormDefault="qualified">
    <xsd:import namespace="http://schemas.microsoft.com/office/2006/documentManagement/types"/>
    <xsd:import namespace="http://schemas.microsoft.com/office/infopath/2007/PartnerControls"/>
    <xsd:element name="TaxCatchAll" ma:index="23" nillable="true" ma:displayName="Taxonomy Catch All Column" ma:hidden="true" ma:list="{3f6bfcbc-3db3-4ae6-bd76-326f0798ad28}" ma:internalName="TaxCatchAll" ma:readOnly="false" ma:showField="CatchAllData" ma:web="16c05727-aa75-4e4a-9b5f-8a80a116589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displayName="Content Type"/>
        <xsd:element ref="dc:title" minOccurs="0" maxOccurs="1" ma:index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Image xmlns="71af3243-3dd4-4a8d-8c0d-dd76da1f02a5">
      <Url xsi:nil="true"/>
      <Description xsi:nil="true"/>
    </Image>
    <Status xmlns="71af3243-3dd4-4a8d-8c0d-dd76da1f02a5">Not started</Status>
    <Background xmlns="71af3243-3dd4-4a8d-8c0d-dd76da1f02a5">false</Background>
    <_ip_UnifiedCompliancePolicyProperties xmlns="http://schemas.microsoft.com/sharepoint/v3" xsi:nil="true"/>
    <ImageTagsTaxHTField xmlns="71af3243-3dd4-4a8d-8c0d-dd76da1f02a5">
      <Terms xmlns="http://schemas.microsoft.com/office/infopath/2007/PartnerControls"/>
    </ImageTagsTaxHTField>
    <TaxCatchAll xmlns="230e9df3-be65-4c73-a93b-d1236ebd677e" xsi:nil="true"/>
    <MediaServiceKeyPoints xmlns="71af3243-3dd4-4a8d-8c0d-dd76da1f02a5" xsi:nil="true"/>
  </documentManagement>
</p:properties>
</file>

<file path=customXml/itemProps1.xml><?xml version="1.0" encoding="utf-8"?>
<ds:datastoreItem xmlns:ds="http://schemas.openxmlformats.org/officeDocument/2006/customXml" ds:itemID="{7C5DBCFF-B01D-443B-958D-5BBBD3E2EAE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71af3243-3dd4-4a8d-8c0d-dd76da1f02a5"/>
    <ds:schemaRef ds:uri="16c05727-aa75-4e4a-9b5f-8a80a1165891"/>
    <ds:schemaRef ds:uri="230e9df3-be65-4c73-a93b-d1236ebd677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69CB1A22-CE44-4532-A0DB-84194B783BC7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53F0F1A-F818-48F9-BE67-B9DBEFF91A62}">
  <ds:schemaRefs>
    <ds:schemaRef ds:uri="http://schemas.microsoft.com/office/2006/metadata/properties"/>
    <ds:schemaRef ds:uri="http://schemas.microsoft.com/office/infopath/2007/PartnerControls"/>
    <ds:schemaRef ds:uri="http://schemas.microsoft.com/sharepoint/v3"/>
    <ds:schemaRef ds:uri="71af3243-3dd4-4a8d-8c0d-dd76da1f02a5"/>
    <ds:schemaRef ds:uri="230e9df3-be65-4c73-a93b-d1236ebd677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emplate>TM04035489</Template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4</vt:i4>
      </vt:variant>
      <vt:variant>
        <vt:lpstr>이름 지정된 범위</vt:lpstr>
      </vt:variant>
      <vt:variant>
        <vt:i4>1</vt:i4>
      </vt:variant>
    </vt:vector>
  </HeadingPairs>
  <TitlesOfParts>
    <vt:vector size="5" baseType="lpstr">
      <vt:lpstr>계획한 지출</vt:lpstr>
      <vt:lpstr>실제 지출</vt:lpstr>
      <vt:lpstr>지출 차이</vt:lpstr>
      <vt:lpstr>지출 분석</vt:lpstr>
      <vt:lpstr>워크시트_제목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dcterms:created xsi:type="dcterms:W3CDTF">2022-02-14T06:36:37Z</dcterms:created>
  <dcterms:modified xsi:type="dcterms:W3CDTF">2022-09-14T10:29:57Z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0x01010079F111ED35F8CC479449609E8A0923A6</vt:lpwstr>
  </property>
</Properties>
</file>